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TS\Desktop\RECONSTRUCCION BANCA\Archivos Investigacion\Evidencias para RI 15 de Condicion 5\"/>
    </mc:Choice>
  </mc:AlternateContent>
  <bookViews>
    <workbookView xWindow="-120" yWindow="-120" windowWidth="19440" windowHeight="15000" firstSheet="2" activeTab="2"/>
  </bookViews>
  <sheets>
    <sheet name="INVERSION 2018_1" sheetId="3" state="hidden" r:id="rId1"/>
    <sheet name="PLANIFICACION DEFINITIVA" sheetId="6" state="hidden" r:id="rId2"/>
    <sheet name="PLANIFICACION ACTUALIZAD" sheetId="8" r:id="rId3"/>
    <sheet name="Hoja2" sheetId="9" r:id="rId4"/>
    <sheet name="NUEVOS PRODUCTOS PARA APROBACIO" sheetId="7" state="hidden" r:id="rId5"/>
    <sheet name="Hoja1 (2)" sheetId="2" state="hidden" r:id="rId6"/>
    <sheet name="Hoja1" sheetId="1" state="hidden" r:id="rId7"/>
    <sheet name="comite_05_2017" sheetId="4" state="hidden" r:id="rId8"/>
    <sheet name="publicacion " sheetId="5" state="hidden" r:id="rId9"/>
  </sheets>
  <externalReferences>
    <externalReference r:id="rId10"/>
    <externalReference r:id="rId11"/>
  </externalReferences>
  <definedNames>
    <definedName name="_xlnm.Print_Area" localSheetId="7">comite_05_2017!$A$1:$I$46</definedName>
    <definedName name="_xlnm.Print_Area" localSheetId="6">Hoja1!$A$1:$J$42</definedName>
    <definedName name="_xlnm.Print_Area" localSheetId="5">'Hoja1 (2)'!$A$1:$J$34</definedName>
    <definedName name="_xlnm.Print_Area" localSheetId="0">'INVERSION 2018_1'!$A$1:$I$21</definedName>
    <definedName name="_xlnm.Print_Area" localSheetId="4">'NUEVOS PRODUCTOS PARA APROBACIO'!$A$1:$K$30</definedName>
    <definedName name="_xlnm.Print_Area" localSheetId="2">'PLANIFICACION ACTUALIZAD'!$A$2:$L$55</definedName>
    <definedName name="_xlnm.Print_Area" localSheetId="1">'PLANIFICACION DEFINITIVA'!$A$1:$K$37</definedName>
    <definedName name="_xlnm.Print_Area" localSheetId="8">'publicacion '!$A$1:$I$49</definedName>
    <definedName name="_xlnm.Print_Titles" localSheetId="7">comite_05_2017!$1:$4</definedName>
    <definedName name="_xlnm.Print_Titles" localSheetId="6">Hoja1!$1:$3</definedName>
    <definedName name="_xlnm.Print_Titles" localSheetId="5">'Hoja1 (2)'!$1:$3</definedName>
    <definedName name="_xlnm.Print_Titles" localSheetId="0">'INVERSION 2018_1'!$1:$3</definedName>
    <definedName name="_xlnm.Print_Titles" localSheetId="4">'NUEVOS PRODUCTOS PARA APROBACIO'!$2:$2</definedName>
    <definedName name="_xlnm.Print_Titles" localSheetId="2">'PLANIFICACION ACTUALIZAD'!$10:$10</definedName>
    <definedName name="_xlnm.Print_Titles" localSheetId="1">'PLANIFICACION DEFINITIVA'!$11:$11</definedName>
    <definedName name="_xlnm.Print_Titles" localSheetId="8">'publicacion '!$1:$1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1" i="9" l="1"/>
  <c r="L6" i="9"/>
  <c r="L8" i="9"/>
  <c r="L2" i="9"/>
  <c r="L3" i="9"/>
  <c r="L13" i="9" l="1"/>
  <c r="L4" i="9"/>
  <c r="L5" i="9"/>
  <c r="L7" i="9"/>
  <c r="L9" i="9"/>
  <c r="L10" i="9"/>
  <c r="L12" i="9"/>
  <c r="H10" i="9"/>
  <c r="J11" i="9"/>
  <c r="K11" i="9" s="1"/>
  <c r="K9" i="9"/>
  <c r="K8" i="9"/>
  <c r="K7" i="9"/>
  <c r="K6" i="9"/>
  <c r="G3" i="9"/>
  <c r="K3" i="9" s="1"/>
  <c r="H2" i="9"/>
  <c r="G42" i="8" l="1"/>
  <c r="G50" i="8"/>
  <c r="G49" i="8"/>
  <c r="G48" i="8"/>
  <c r="C51" i="8"/>
  <c r="E31" i="8"/>
  <c r="G51" i="8" l="1"/>
  <c r="H34" i="8"/>
  <c r="K41" i="8"/>
  <c r="J41" i="8"/>
  <c r="I41" i="8"/>
  <c r="J39" i="8"/>
  <c r="I39" i="8"/>
  <c r="F43" i="8"/>
  <c r="L41" i="8"/>
  <c r="D30" i="8"/>
  <c r="J30" i="8" s="1"/>
  <c r="C30" i="8"/>
  <c r="K18" i="8" l="1"/>
  <c r="J22" i="8"/>
  <c r="K22" i="8" s="1"/>
  <c r="J40" i="8" l="1"/>
  <c r="K17" i="8"/>
  <c r="K20" i="8"/>
  <c r="K19" i="8"/>
  <c r="K24" i="8" l="1"/>
  <c r="J16" i="8"/>
  <c r="G13" i="8"/>
  <c r="K13" i="8" s="1"/>
  <c r="H8" i="8"/>
  <c r="H21" i="8"/>
  <c r="H7" i="8"/>
  <c r="H6" i="8"/>
  <c r="H44" i="8" l="1"/>
  <c r="C40" i="8"/>
  <c r="K16" i="8"/>
  <c r="D40" i="8"/>
  <c r="J44" i="6"/>
  <c r="I44" i="6"/>
  <c r="I42" i="6"/>
  <c r="H44" i="6"/>
  <c r="H42" i="6"/>
  <c r="E46" i="6"/>
  <c r="F45" i="6"/>
  <c r="L44" i="6"/>
  <c r="K44" i="6"/>
  <c r="D33" i="6"/>
  <c r="I33" i="6" s="1"/>
  <c r="C33" i="6"/>
  <c r="J25" i="6"/>
  <c r="I27" i="7" l="1"/>
  <c r="D29" i="7" l="1"/>
  <c r="E28" i="7"/>
  <c r="K27" i="7"/>
  <c r="J27" i="7"/>
  <c r="H27" i="7"/>
  <c r="G27" i="7"/>
  <c r="H25" i="7"/>
  <c r="G25" i="7"/>
  <c r="H8" i="7" l="1"/>
  <c r="C16" i="7" l="1"/>
  <c r="H16" i="7" s="1"/>
  <c r="B16" i="7"/>
  <c r="I10" i="7"/>
  <c r="I9" i="7"/>
  <c r="I7" i="7"/>
  <c r="H6" i="7"/>
  <c r="H5" i="7"/>
  <c r="I21" i="6"/>
  <c r="I20" i="6"/>
  <c r="I5" i="7" l="1"/>
  <c r="B26" i="7"/>
  <c r="I6" i="7"/>
  <c r="C26" i="7"/>
  <c r="H26" i="7" s="1"/>
  <c r="J20" i="6"/>
  <c r="D43" i="6"/>
  <c r="I43" i="6" s="1"/>
  <c r="J24" i="6"/>
  <c r="J27" i="6" l="1"/>
  <c r="J23" i="6"/>
  <c r="J22" i="6"/>
  <c r="G16" i="6"/>
  <c r="H6" i="6"/>
  <c r="H7" i="6"/>
  <c r="H8" i="6"/>
  <c r="H9" i="6"/>
  <c r="H10" i="6"/>
  <c r="H5" i="6"/>
  <c r="G37" i="6" l="1"/>
  <c r="F20" i="7"/>
  <c r="J26" i="6"/>
  <c r="J21" i="6" l="1"/>
  <c r="I19" i="6"/>
  <c r="J16" i="6"/>
  <c r="J15" i="6"/>
  <c r="J14" i="6"/>
  <c r="D56" i="3"/>
  <c r="C56" i="3"/>
  <c r="I55" i="3"/>
  <c r="J19" i="6" l="1"/>
  <c r="C43" i="6"/>
  <c r="E51" i="3"/>
  <c r="H38" i="3"/>
  <c r="H39" i="3"/>
  <c r="H40" i="3"/>
  <c r="H41" i="3"/>
  <c r="H42" i="3"/>
  <c r="H37" i="3"/>
  <c r="E50" i="3" l="1"/>
  <c r="E48" i="3"/>
  <c r="D48" i="3"/>
  <c r="F48" i="3"/>
  <c r="F18" i="3" l="1"/>
  <c r="H18" i="3" s="1"/>
  <c r="F17" i="3"/>
  <c r="H17" i="3" s="1"/>
  <c r="F16" i="3"/>
  <c r="H16" i="3" s="1"/>
  <c r="H5" i="3" l="1"/>
  <c r="H6" i="3" l="1"/>
  <c r="I49" i="5" l="1"/>
  <c r="E55" i="5" l="1"/>
  <c r="F53" i="5"/>
  <c r="E53" i="5"/>
  <c r="I48" i="5"/>
  <c r="I46" i="5"/>
  <c r="I45" i="5"/>
  <c r="F42" i="5"/>
  <c r="I42" i="5" s="1"/>
  <c r="F41" i="5"/>
  <c r="I41" i="5" s="1"/>
  <c r="F40" i="5"/>
  <c r="I38" i="5"/>
  <c r="I37" i="5"/>
  <c r="I36" i="5"/>
  <c r="I35" i="5"/>
  <c r="I34" i="5"/>
  <c r="I33" i="5"/>
  <c r="I32" i="5"/>
  <c r="I31" i="5"/>
  <c r="I30" i="5"/>
  <c r="I29" i="5"/>
  <c r="I28" i="5"/>
  <c r="I25" i="5"/>
  <c r="I24" i="5"/>
  <c r="I22" i="5"/>
  <c r="F11" i="5"/>
  <c r="E11" i="5"/>
  <c r="I10" i="5"/>
  <c r="I9" i="5"/>
  <c r="I8" i="5"/>
  <c r="I7" i="5"/>
  <c r="I6" i="5"/>
  <c r="I5" i="5"/>
  <c r="D54" i="5" l="1"/>
  <c r="H11" i="5"/>
  <c r="I40" i="5"/>
  <c r="I34" i="4"/>
  <c r="I35" i="4"/>
  <c r="E53" i="4" l="1"/>
  <c r="E51" i="4"/>
  <c r="F51" i="4"/>
  <c r="I27" i="4" l="1"/>
  <c r="I28" i="4" l="1"/>
  <c r="I26" i="4"/>
  <c r="I46" i="4" l="1"/>
  <c r="I44" i="4"/>
  <c r="I43" i="4"/>
  <c r="I36" i="4"/>
  <c r="F40" i="4"/>
  <c r="I40" i="4" s="1"/>
  <c r="F39" i="4"/>
  <c r="I39" i="4" s="1"/>
  <c r="F38" i="4"/>
  <c r="I33" i="4"/>
  <c r="I32" i="4"/>
  <c r="I31" i="4"/>
  <c r="I30" i="4"/>
  <c r="I29" i="4"/>
  <c r="I23" i="4"/>
  <c r="I22" i="4"/>
  <c r="I20" i="4"/>
  <c r="F11" i="4"/>
  <c r="E11" i="4"/>
  <c r="I10" i="4"/>
  <c r="I9" i="4"/>
  <c r="I8" i="4"/>
  <c r="I7" i="4"/>
  <c r="I6" i="4"/>
  <c r="I5" i="4"/>
  <c r="I38" i="4" l="1"/>
  <c r="D52" i="4"/>
  <c r="H11" i="4"/>
  <c r="H20" i="3"/>
  <c r="H11" i="3"/>
  <c r="F13" i="3" l="1"/>
  <c r="H13" i="3" s="1"/>
  <c r="H19" i="3" l="1"/>
  <c r="H8" i="3"/>
  <c r="F49" i="3" s="1"/>
  <c r="H9" i="3"/>
  <c r="H7" i="3"/>
  <c r="J5" i="3" s="1"/>
  <c r="H4" i="3"/>
  <c r="F51" i="3" l="1"/>
  <c r="J35" i="1"/>
  <c r="J34" i="1"/>
  <c r="F42" i="1" l="1"/>
  <c r="G33" i="2"/>
  <c r="J33" i="2" s="1"/>
  <c r="G32" i="2"/>
  <c r="J32" i="2" s="1"/>
  <c r="J31" i="2"/>
  <c r="J29" i="2"/>
  <c r="J28" i="2"/>
  <c r="J27" i="2"/>
  <c r="J26" i="2"/>
  <c r="J25" i="2"/>
  <c r="J23" i="2"/>
  <c r="J21" i="2"/>
  <c r="J19" i="2"/>
  <c r="G10" i="2"/>
  <c r="F10" i="2"/>
  <c r="I10" i="2" s="1"/>
  <c r="J9" i="2"/>
  <c r="J8" i="2"/>
  <c r="J7" i="2"/>
  <c r="J6" i="2"/>
  <c r="J5" i="2"/>
  <c r="J4" i="2"/>
  <c r="J41" i="1" l="1"/>
  <c r="I41" i="1"/>
  <c r="G40" i="1"/>
  <c r="F40" i="1"/>
  <c r="E41" i="1"/>
  <c r="G33" i="1"/>
  <c r="J33" i="1" s="1"/>
  <c r="G32" i="1"/>
  <c r="J32" i="1"/>
  <c r="J4" i="1"/>
  <c r="J31" i="1"/>
  <c r="J29" i="1"/>
  <c r="J25" i="1"/>
  <c r="J21" i="1"/>
  <c r="J19" i="1"/>
  <c r="J5" i="1"/>
  <c r="J6" i="1"/>
  <c r="J7" i="1"/>
  <c r="J8" i="1"/>
  <c r="J9" i="1"/>
  <c r="G10" i="1"/>
  <c r="F10" i="1"/>
  <c r="J26" i="1"/>
  <c r="J27" i="1"/>
  <c r="J28" i="1"/>
  <c r="J23" i="1"/>
  <c r="I10" i="1" l="1"/>
</calcChain>
</file>

<file path=xl/comments1.xml><?xml version="1.0" encoding="utf-8"?>
<comments xmlns="http://schemas.openxmlformats.org/spreadsheetml/2006/main">
  <authors>
    <author>Usuario de Windows</author>
  </authors>
  <commentList>
    <comment ref="B29" authorId="0" shapeId="0">
      <text>
        <r>
          <rPr>
            <b/>
            <sz val="9"/>
            <color indexed="81"/>
            <rFont val="Tahoma"/>
            <family val="2"/>
          </rPr>
          <t>Katherine G:</t>
        </r>
        <r>
          <rPr>
            <sz val="9"/>
            <color indexed="81"/>
            <rFont val="Tahoma"/>
            <family val="2"/>
          </rPr>
          <t xml:space="preserve">
Proyecto presentado EL 07/02/2018 por la coordinacion de sistemas para la renovación de registro calificado.</t>
        </r>
      </text>
    </comment>
    <comment ref="F51" authorId="0" shapeId="0">
      <text>
        <r>
          <rPr>
            <b/>
            <sz val="9"/>
            <color indexed="81"/>
            <rFont val="Tahoma"/>
            <family val="2"/>
          </rPr>
          <t>Usuario de Windows:</t>
        </r>
        <r>
          <rPr>
            <sz val="9"/>
            <color indexed="81"/>
            <rFont val="Tahoma"/>
            <family val="2"/>
          </rPr>
          <t xml:space="preserve">
Por incorporar de CREE 2016</t>
        </r>
      </text>
    </comment>
  </commentList>
</comments>
</file>

<file path=xl/comments2.xml><?xml version="1.0" encoding="utf-8"?>
<comments xmlns="http://schemas.openxmlformats.org/spreadsheetml/2006/main">
  <authors>
    <author>Usuario de Windows</author>
  </authors>
  <commentList>
    <comment ref="G28" authorId="0" shapeId="0">
      <text>
        <r>
          <rPr>
            <b/>
            <sz val="9"/>
            <color indexed="81"/>
            <rFont val="Tahoma"/>
            <family val="2"/>
          </rPr>
          <t>Usuario de Windows:</t>
        </r>
        <r>
          <rPr>
            <sz val="9"/>
            <color indexed="81"/>
            <rFont val="Tahoma"/>
            <family val="2"/>
          </rPr>
          <t xml:space="preserve">
Presupuesto discriminado  se puede evidencia en la parte inferior de la planificación</t>
        </r>
      </text>
    </comment>
  </commentList>
</comments>
</file>

<file path=xl/comments3.xml><?xml version="1.0" encoding="utf-8"?>
<comments xmlns="http://schemas.openxmlformats.org/spreadsheetml/2006/main">
  <authors>
    <author>User</author>
    <author>UTS</author>
  </authors>
  <commentList>
    <comment ref="G21" authorId="0" shapeId="0">
      <text>
        <r>
          <rPr>
            <b/>
            <sz val="9"/>
            <color indexed="81"/>
            <rFont val="Tahoma"/>
            <family val="2"/>
          </rPr>
          <t>User:</t>
        </r>
        <r>
          <rPr>
            <sz val="9"/>
            <color indexed="81"/>
            <rFont val="Tahoma"/>
            <family val="2"/>
          </rPr>
          <t xml:space="preserve">
Para iniciar este proyecto solo se encuentra incorporado al presupuesto un valor$403.865.157.</t>
        </r>
      </text>
    </comment>
    <comment ref="F29" authorId="1" shapeId="0">
      <text>
        <r>
          <rPr>
            <b/>
            <sz val="9"/>
            <color indexed="81"/>
            <rFont val="Tahoma"/>
            <family val="2"/>
          </rPr>
          <t>UTS:</t>
        </r>
        <r>
          <rPr>
            <sz val="9"/>
            <color indexed="81"/>
            <rFont val="Tahoma"/>
            <family val="2"/>
          </rPr>
          <t xml:space="preserve">
CORRESPONDE A LA INSTALACION DEL ASCENSOR</t>
        </r>
      </text>
    </comment>
    <comment ref="G30" authorId="1" shapeId="0">
      <text>
        <r>
          <rPr>
            <b/>
            <sz val="9"/>
            <color indexed="81"/>
            <rFont val="Tahoma"/>
            <family val="2"/>
          </rPr>
          <t>UTS:</t>
        </r>
        <r>
          <rPr>
            <sz val="9"/>
            <color indexed="81"/>
            <rFont val="Tahoma"/>
            <family val="2"/>
          </rPr>
          <t xml:space="preserve">
COMPRA DEL ASCENSOR</t>
        </r>
      </text>
    </comment>
    <comment ref="G31" authorId="1" shapeId="0">
      <text>
        <r>
          <rPr>
            <b/>
            <sz val="9"/>
            <color indexed="81"/>
            <rFont val="Tahoma"/>
            <family val="2"/>
          </rPr>
          <t>UTS:</t>
        </r>
        <r>
          <rPr>
            <sz val="9"/>
            <color indexed="81"/>
            <rFont val="Tahoma"/>
            <family val="2"/>
          </rPr>
          <t xml:space="preserve">
SEGÚN PRIORIDADES QUE ENVIE INFRAESTRUCTURA</t>
        </r>
      </text>
    </comment>
  </commentList>
</comments>
</file>

<file path=xl/comments4.xml><?xml version="1.0" encoding="utf-8"?>
<comments xmlns="http://schemas.openxmlformats.org/spreadsheetml/2006/main">
  <authors>
    <author>User</author>
    <author>UTS</author>
  </authors>
  <commentList>
    <comment ref="G21" authorId="0" shapeId="0">
      <text>
        <r>
          <rPr>
            <b/>
            <sz val="9"/>
            <color indexed="81"/>
            <rFont val="Tahoma"/>
            <family val="2"/>
          </rPr>
          <t>User:</t>
        </r>
        <r>
          <rPr>
            <sz val="9"/>
            <color indexed="81"/>
            <rFont val="Tahoma"/>
            <family val="2"/>
          </rPr>
          <t xml:space="preserve">
Para iniciar este proyecto solo se encuentra incorporado al presupuesto un valor$403.865.157.</t>
        </r>
      </text>
    </comment>
    <comment ref="F29" authorId="1" shapeId="0">
      <text>
        <r>
          <rPr>
            <b/>
            <sz val="9"/>
            <color indexed="81"/>
            <rFont val="Tahoma"/>
            <family val="2"/>
          </rPr>
          <t>UTS:</t>
        </r>
        <r>
          <rPr>
            <sz val="9"/>
            <color indexed="81"/>
            <rFont val="Tahoma"/>
            <family val="2"/>
          </rPr>
          <t xml:space="preserve">
CORRESPONDE A LA INSTALACION DEL ASCENSOR</t>
        </r>
      </text>
    </comment>
    <comment ref="G30" authorId="1" shapeId="0">
      <text>
        <r>
          <rPr>
            <b/>
            <sz val="9"/>
            <color indexed="81"/>
            <rFont val="Tahoma"/>
            <family val="2"/>
          </rPr>
          <t>UTS:</t>
        </r>
        <r>
          <rPr>
            <sz val="9"/>
            <color indexed="81"/>
            <rFont val="Tahoma"/>
            <family val="2"/>
          </rPr>
          <t xml:space="preserve">
COMPRA DEL ASCENSOR</t>
        </r>
      </text>
    </comment>
    <comment ref="G31" authorId="1" shapeId="0">
      <text>
        <r>
          <rPr>
            <b/>
            <sz val="9"/>
            <color indexed="81"/>
            <rFont val="Tahoma"/>
            <family val="2"/>
          </rPr>
          <t>UTS:</t>
        </r>
        <r>
          <rPr>
            <sz val="9"/>
            <color indexed="81"/>
            <rFont val="Tahoma"/>
            <family val="2"/>
          </rPr>
          <t xml:space="preserve">
SEGÚN PRIORIDADES QUE ENVIE INFRAESTRUCTURA</t>
        </r>
      </text>
    </comment>
    <comment ref="H40" authorId="0" shapeId="0">
      <text>
        <r>
          <rPr>
            <b/>
            <sz val="9"/>
            <color indexed="81"/>
            <rFont val="Tahoma"/>
            <family val="2"/>
          </rPr>
          <t>User:</t>
        </r>
        <r>
          <rPr>
            <sz val="9"/>
            <color indexed="81"/>
            <rFont val="Tahoma"/>
            <family val="2"/>
          </rPr>
          <t xml:space="preserve">
Incluyen losporyectos de CUBIERTAS Y CAFETERIA VIP.</t>
        </r>
      </text>
    </comment>
    <comment ref="E41" authorId="0" shapeId="0">
      <text>
        <r>
          <rPr>
            <b/>
            <sz val="9"/>
            <color indexed="81"/>
            <rFont val="Tahoma"/>
            <family val="2"/>
          </rPr>
          <t>User:</t>
        </r>
        <r>
          <rPr>
            <sz val="9"/>
            <color indexed="81"/>
            <rFont val="Tahoma"/>
            <family val="2"/>
          </rPr>
          <t xml:space="preserve">
VALOR DE LOS PROYECTOS MISIONALES Y DE DOCENCIA</t>
        </r>
      </text>
    </comment>
    <comment ref="I41" authorId="0" shapeId="0">
      <text>
        <r>
          <rPr>
            <b/>
            <sz val="9"/>
            <color indexed="81"/>
            <rFont val="Tahoma"/>
            <family val="2"/>
          </rPr>
          <t>User:</t>
        </r>
        <r>
          <rPr>
            <sz val="9"/>
            <color indexed="81"/>
            <rFont val="Tahoma"/>
            <family val="2"/>
          </rPr>
          <t xml:space="preserve">
PROYECTOS DE CUBIERTAS Y LABORATORIO DE QUIMICA</t>
        </r>
      </text>
    </comment>
    <comment ref="J41" authorId="0" shapeId="0">
      <text>
        <r>
          <rPr>
            <b/>
            <sz val="9"/>
            <color indexed="81"/>
            <rFont val="Tahoma"/>
            <family val="2"/>
          </rPr>
          <t>User:</t>
        </r>
        <r>
          <rPr>
            <sz val="9"/>
            <color indexed="81"/>
            <rFont val="Tahoma"/>
            <family val="2"/>
          </rPr>
          <t xml:space="preserve">
VALOR COMPLEMENTARIO AL PROYECTO DE DOTACION DE EQUIPOS FCNI</t>
        </r>
      </text>
    </comment>
    <comment ref="D44" authorId="1" shapeId="0">
      <text>
        <r>
          <rPr>
            <b/>
            <sz val="9"/>
            <color indexed="81"/>
            <rFont val="Tahoma"/>
            <family val="2"/>
          </rPr>
          <t>UTS:
INFRAESTRUCTURA FISICA$328.841352
EQUIPOS$368.592.338.
DOTACION BIBLIOTECA :200.000.000</t>
        </r>
      </text>
    </comment>
  </commentList>
</comments>
</file>

<file path=xl/comments5.xml><?xml version="1.0" encoding="utf-8"?>
<comments xmlns="http://schemas.openxmlformats.org/spreadsheetml/2006/main">
  <authors>
    <author>User</author>
    <author>Home</author>
  </authors>
  <commentList>
    <comment ref="F23" authorId="0" shapeId="0">
      <text>
        <r>
          <rPr>
            <b/>
            <sz val="9"/>
            <color indexed="81"/>
            <rFont val="Tahoma"/>
            <family val="2"/>
          </rPr>
          <t>User:</t>
        </r>
        <r>
          <rPr>
            <sz val="9"/>
            <color indexed="81"/>
            <rFont val="Tahoma"/>
            <family val="2"/>
          </rPr>
          <t xml:space="preserve">
Para iniciar este proyecto solo se encuentra incorporado al presupuesto un valor$403.865.157.</t>
        </r>
      </text>
    </comment>
    <comment ref="F46" authorId="1" shapeId="0">
      <text>
        <r>
          <rPr>
            <b/>
            <sz val="9"/>
            <color indexed="81"/>
            <rFont val="Tahoma"/>
            <family val="2"/>
          </rPr>
          <t xml:space="preserve">Katherine:
</t>
        </r>
        <r>
          <rPr>
            <sz val="9"/>
            <color indexed="81"/>
            <rFont val="Tahoma"/>
            <family val="2"/>
          </rPr>
          <t>100 millones para pc de salas 
100 millones para áreas administrativas</t>
        </r>
        <r>
          <rPr>
            <sz val="9"/>
            <color indexed="81"/>
            <rFont val="Tahoma"/>
            <family val="2"/>
          </rPr>
          <t xml:space="preserve">
</t>
        </r>
      </text>
    </comment>
    <comment ref="D52" authorId="0" shapeId="0">
      <text>
        <r>
          <rPr>
            <b/>
            <sz val="9"/>
            <color indexed="81"/>
            <rFont val="Tahoma"/>
            <family val="2"/>
          </rPr>
          <t>User:</t>
        </r>
        <r>
          <rPr>
            <sz val="9"/>
            <color indexed="81"/>
            <rFont val="Tahoma"/>
            <family val="2"/>
          </rPr>
          <t xml:space="preserve">
VALOR DE LOS PROYECTOS MISIONALES, DE DOCENCIA Y EQUIPOS (CUBIERTAS, LABORATORIOS, LAB 420, CELDA FLEXIBLE</t>
        </r>
      </text>
    </comment>
  </commentList>
</comments>
</file>

<file path=xl/comments6.xml><?xml version="1.0" encoding="utf-8"?>
<comments xmlns="http://schemas.openxmlformats.org/spreadsheetml/2006/main">
  <authors>
    <author>User</author>
    <author>Home</author>
  </authors>
  <commentList>
    <comment ref="F25" authorId="0" shapeId="0">
      <text>
        <r>
          <rPr>
            <b/>
            <sz val="9"/>
            <color indexed="81"/>
            <rFont val="Tahoma"/>
            <family val="2"/>
          </rPr>
          <t>User:</t>
        </r>
        <r>
          <rPr>
            <sz val="9"/>
            <color indexed="81"/>
            <rFont val="Tahoma"/>
            <family val="2"/>
          </rPr>
          <t xml:space="preserve">
Para iniciar este proyecto solo se encuentra incorporado al presupuesto un valor$403.865.157.</t>
        </r>
      </text>
    </comment>
    <comment ref="F48" authorId="1" shapeId="0">
      <text>
        <r>
          <rPr>
            <b/>
            <sz val="9"/>
            <color indexed="81"/>
            <rFont val="Tahoma"/>
            <family val="2"/>
          </rPr>
          <t xml:space="preserve">Katherine:
</t>
        </r>
        <r>
          <rPr>
            <sz val="9"/>
            <color indexed="81"/>
            <rFont val="Tahoma"/>
            <family val="2"/>
          </rPr>
          <t>100 millones para pc de salas 
100 millones para áreas administrativas</t>
        </r>
        <r>
          <rPr>
            <sz val="9"/>
            <color indexed="81"/>
            <rFont val="Tahoma"/>
            <family val="2"/>
          </rPr>
          <t xml:space="preserve">
</t>
        </r>
      </text>
    </comment>
    <comment ref="D54" authorId="0" shapeId="0">
      <text>
        <r>
          <rPr>
            <b/>
            <sz val="9"/>
            <color indexed="81"/>
            <rFont val="Tahoma"/>
            <family val="2"/>
          </rPr>
          <t>User:</t>
        </r>
        <r>
          <rPr>
            <sz val="9"/>
            <color indexed="81"/>
            <rFont val="Tahoma"/>
            <family val="2"/>
          </rPr>
          <t xml:space="preserve">
VALOR DE LOS PROYECTOS MISIONALES, DE DOCENCIA Y EQUIPOS (CUBIERTAS, LABORATORIOS, LAB 420, CELDA FLEXIBLE</t>
        </r>
      </text>
    </comment>
  </commentList>
</comments>
</file>

<file path=xl/sharedStrings.xml><?xml version="1.0" encoding="utf-8"?>
<sst xmlns="http://schemas.openxmlformats.org/spreadsheetml/2006/main" count="922" uniqueCount="274">
  <si>
    <t xml:space="preserve">NUMERO </t>
  </si>
  <si>
    <t>RESULTADO  PROYECTO</t>
  </si>
  <si>
    <t>VALOR</t>
  </si>
  <si>
    <t>ESTADO ACTUAL</t>
  </si>
  <si>
    <t>CREACIÓN DEL CENTRO DE ACOMPAÑAMIENTO INTEGRAL AL ESTUDIANTE DE LAS UNIDADES TECNOLÓGICAS DE SANTANDER</t>
  </si>
  <si>
    <t>IMPLEMENTACION DE ACCIONES  PARA LA PERMANENCIA Y GRADUACION OPORTUNA PARA LOS ESTUDIANTES DE LAS UTS</t>
  </si>
  <si>
    <t xml:space="preserve">FORTALECIMIENTO DE LA CULTURA INVESTIGATIVA EN LAS UTS A TRAVÉS DE LA IMPLEMENTACION DE LABORATORIOS PARA LA FCNI, QUE PROMUEVAN LA PARTICIPACION DE DOCENTES Y ESTUDIANTES MEDIANTE ACTIVIDADES DESARROLLADAS POR LOS SEMILLEROS Y GRUPOS DE INVESTIGACION </t>
  </si>
  <si>
    <t>FORTALECIMIENTO DE LOS RECURSOS EDUCATIVOS PARA EL APRENDIZAJE EN INGLES DIRIGIDO A LA COMUNIDAD EDUCATIVA DE LAS UNIDADES TECNOLÓGICAS DE SANTANDER</t>
  </si>
  <si>
    <t>ADECUACIÓN Y EQUIPAMIENTO DE LA AULA MAGISTRAL Y DE TELECONFERENCIA CON AFORO PARA AUDIENCIA PRESENCIAL PARA LAS UTS</t>
  </si>
  <si>
    <t>MEJORAMIENTO DE LAS FUNCIONES DE COMUNICACIÓN Y SEGUIMIENTO EN LA PLATAFORMA PARA LA GESTIÓN DEL APRENDIZAJE EN LÍNEA DE LAS UTS</t>
  </si>
  <si>
    <t xml:space="preserve">1. Aumentar la cobertura de estudiantes beneficiarios con tutorías.
2. Aumentar la cobertura e impacto del número de docentes tutores.
3. Diseñar  Objetos virtuales de aprendizaje (OVAS).
4. Promover la participación y el aporte del núcleo familiar en el acompañamiento, la formación y la construcción de proyecto académico del estudiante, para la culminación efectiva de su plan de estudios, a partir de la sensibilización a la familia frente a la función que ejerce como parte fundamental de la red de apoyo psicosocial del estudiante.
5. Fortalecer los programas de atención y prevención en salud integral (estilo de vida saludable, sin droga, sin alcohol, actividad física y alimentación sana) para la comunidad universitaria; estudiantes, docentes, administrativos y padres de familias.
6. Realizar talleres o encuentros de socialización de la cultura de la promoción en torno a la permanencia y graduación oportuna en los diferentes miembros de la comunidad académica, como  directivos, docentes, administrativos, estudiantes y familias.
7. Diseñar e implementar cursos masivos abiertos (MOOC). Sobre matemáticas básicas y procesos de lectura y escritura y métodos de estudio,  en especial para las sedes de las UTS.
</t>
  </si>
  <si>
    <t xml:space="preserve">Dotación tecnológica de siete laboratorios,  con los equipos necesarios y en funcionamiento para el fortalecimiento de la docencia, investigación y extensión de los  programas  de la FCNI, así como de los semilleros y grupos de investigación de las UTS.                                                           </t>
  </si>
  <si>
    <t xml:space="preserve">Sala de idiomas con adecuación física , dotación de recursos didácticos y tecnológicos al servicio de la comunidad estudiantil, </t>
  </si>
  <si>
    <t xml:space="preserve">Aula Magistral con infraestructura física y dotada tecnológicamente para una capacidad de 50 personas </t>
  </si>
  <si>
    <t>Adecuación y dotación tecnológica de un espacio físico en el sótano del edificio a para la creación del centro de estudios</t>
  </si>
  <si>
    <t>1. Mejorar la comunicación asíncrona entre tutor-estudiante y estudiante-estudiante, de tal forma que se pueda realizar trazabilidad a los mensajes de forma eficiente.  2.Crear grupos y compartir información mediante la transferencia de cualquier tipo de archivo en la comunicación síncrona. 3. Trabajar colaborativamente mediante la incorporación de software que soporte este tipo de trabajo (gropware).</t>
  </si>
  <si>
    <t>53-2016</t>
  </si>
  <si>
    <t>En formulación</t>
  </si>
  <si>
    <t>06 2016</t>
  </si>
  <si>
    <t>14 2016</t>
  </si>
  <si>
    <t>04 2016</t>
  </si>
  <si>
    <t>05 2016</t>
  </si>
  <si>
    <t>02 2016</t>
  </si>
  <si>
    <t>NOMBRE DEL PROYECTO</t>
  </si>
  <si>
    <t xml:space="preserve">En ejecución 
Pendientes actividades por contratar 
• Monitores 
• Socialización de la cultura de la promoción en torno a la permanencia y graduación oportuna 
• Tramite contractual de actividades con padres de familia 
</t>
  </si>
  <si>
    <t xml:space="preserve">En ejecución 
• Proyecto formulado con fichas técnicas 
• Actividad en estudios de mercados 
</t>
  </si>
  <si>
    <t>INVERSION RECURSOS 2017</t>
  </si>
  <si>
    <t>FUENTE DE FINCIACION</t>
  </si>
  <si>
    <t>PROYECTO</t>
  </si>
  <si>
    <t>CREE 2016</t>
  </si>
  <si>
    <t xml:space="preserve"> ADECUACION Y MEJORAMIENTO DE LAS CUBIERTAS Y LAS INSTALACIONES DE AGUAS LLUVIAS DEL EDIFICIO A Y COLISEO DE LAS UTS SEDE BUCARAMANGA </t>
  </si>
  <si>
    <t>08 2016</t>
  </si>
  <si>
    <t>cubiertas implementadas del edificio A y coliseo</t>
  </si>
  <si>
    <t xml:space="preserve">PROUIS </t>
  </si>
  <si>
    <t>FISICA(INFRAESTRUC)</t>
  </si>
  <si>
    <t>TECNOLOGICA(EQUIP)</t>
  </si>
  <si>
    <t>ORDENANZA</t>
  </si>
  <si>
    <t>TOTAL</t>
  </si>
  <si>
    <t xml:space="preserve"> ADECUACIÓN Y DOTACIÓN DEL SALÓN  420 DEL EDIFICIO A COMO LABORATORIO PARA EL ÁREA DE QUÍMICA EN LOS PROGRAMAS DE TECNOLOGÍA EN PETRÓLEO Y GAS EN SUPERFICIE Y DE TECNOLOGÍA EN RECURSOS AMBIENTALES</t>
  </si>
  <si>
    <t>10 2016</t>
  </si>
  <si>
    <t>dotacion del salon 402 laboratorio de Quimica</t>
  </si>
  <si>
    <t>11 2016</t>
  </si>
  <si>
    <t>dotacion de los laboratorios de la FCNI</t>
  </si>
  <si>
    <t xml:space="preserve">ADQUISICIÓN DE EQUIPOS PARA PRÁCTICAS EN LOS DIFERENTES PROGRAMAS DE LAS FACULTAD DE CIENCIAS NATURALES E INGENIERIAS Y DEL PROGRAMA AGROINDUSTRIAL </t>
  </si>
  <si>
    <t>DOTACIÓN DE AIRES ACONDICIONADOS PARA LAS DIFERENTES DEPENDENCIAS</t>
  </si>
  <si>
    <t xml:space="preserve">aires acondiconados instalados en las oficinas </t>
  </si>
  <si>
    <t>FORTALECIMIENTO DE CIENCIAS APLICADAS AL DEPORTE</t>
  </si>
  <si>
    <t>dotacion de laboratorio de deportes</t>
  </si>
  <si>
    <t>MEJORAMIENTO DE LA INFRAESTRUCTURA DE LOS LABORATORIOS DE LA FCNI</t>
  </si>
  <si>
    <t>adecuacion de los laboratorios de FCNI</t>
  </si>
  <si>
    <t>FISICA (INF)</t>
  </si>
  <si>
    <t>TEGNOLOGICA (EQ)</t>
  </si>
  <si>
    <t>TOTAL CREE</t>
  </si>
  <si>
    <t xml:space="preserve">MEJORAMIENTO DE LAS INSTALACIONES DEL EDIFICIO A MEDIANTE LA INSTALACIÓN DE UN ASCENSOR  </t>
  </si>
  <si>
    <t>adecuacion Y dotacion de ascensor en el edificio A</t>
  </si>
  <si>
    <t>RP</t>
  </si>
  <si>
    <t>POR INCORPORAR</t>
  </si>
  <si>
    <t>PRO UIS  2017</t>
  </si>
  <si>
    <t>PROUIS (EQ)</t>
  </si>
  <si>
    <t>PROUIS (FIS)</t>
  </si>
  <si>
    <t>APOYO PARA EL FORTALECIMIENTO DE LA CALIDAD Y EL SERVICIO EDUCATIVO DE LAS UNIDADES TECNOLÓGICAS DE SANTANDER 2016 - 2019</t>
  </si>
  <si>
    <t>Pago de docentes 60%</t>
  </si>
  <si>
    <t>Pago de docentes misionales 20%</t>
  </si>
  <si>
    <t>APOYO PARA EL FORTALECIMIENTO DE LOS PROCESOS MISIONALES  DE LAS UNIDADES TECNOLOGICAS DE SANTANDER PARA EL ASEGURAMIENTO DE LA ACREDITACIÓN EN ALTA CALIDAD 2016-2019</t>
  </si>
  <si>
    <t>RECURSOS PROPIOS</t>
  </si>
  <si>
    <t>OTRAS FUENTES DE RECURSO</t>
  </si>
  <si>
    <t xml:space="preserve">ORDENANZA </t>
  </si>
  <si>
    <t>VALOR PRESUPUESTADO 2017</t>
  </si>
  <si>
    <t>VALOR INCORPORADO</t>
  </si>
  <si>
    <t>TECNOLOGICA (EQ)</t>
  </si>
  <si>
    <t xml:space="preserve"> ORDENANZA 2017</t>
  </si>
  <si>
    <t xml:space="preserve">Nota: Por Recursos Propios está pendiente planificar para la vigencia 2017   $897.433.690
</t>
  </si>
  <si>
    <t>CAFETERIA VIP</t>
  </si>
  <si>
    <t>ESPACIOS PARA LA CONVIVENCIA(VIP)</t>
  </si>
  <si>
    <t>PROUIS (FISICA)</t>
  </si>
  <si>
    <t>FORTALECIMIENTO DE LOS LABORATORIOS DE LA FCSE</t>
  </si>
  <si>
    <t>dotacion de elementos de practica para los laboratorios de sede principal</t>
  </si>
  <si>
    <t>DOTACION DE EQUIPOS TECNOLÓGICOS PARA LAS UTS</t>
  </si>
  <si>
    <t xml:space="preserve">Adquisición de equipos para la emisora.
</t>
  </si>
  <si>
    <t>FORTALECIMIENTO DE LA CULTURA INVESTIGATIVA A TRAVÉS DEL APOYO A SEMILLEROS, JÓVENES INVESTIGADORES Y FOMENTO A LA PROTECCIÓN DE INVENCIONES – VIGENCIA 2017</t>
  </si>
  <si>
    <t>APOYO PARA EL RECONOCIMIENTO E INCENTIVO DE LA PRODUCCIÓN CIENTÍFICA DE LAS UNIDADES TECNOLÓGICAS DE SANTANDER – VIGENCIA 2017</t>
  </si>
  <si>
    <t>INVESTIGACIONES</t>
  </si>
  <si>
    <t>03-2017 FORTALECIMIENTO DE LA CULTURA INVESTIGATIVA A TRAVÉS DEL APOYO A SEMILLEROS, JÓVENES INVESTIGADORES Y FOMENTO A LA PROTECCIÓN DE INVENCIONES – VIGENCIA 2017</t>
  </si>
  <si>
    <t>03 2017</t>
  </si>
  <si>
    <t>01 2017</t>
  </si>
  <si>
    <t>02 2017</t>
  </si>
  <si>
    <t>ACCIONES PARA EL FORTALECIMIENTO DE LA INVESTIGACIÓN FORMATIVA E INVESTIGACIÓN EN SENTIDO ESTRICTO EN LA COMUNIDAD ACADÉMICA DE LAS UTS.</t>
  </si>
  <si>
    <t>RECURSOS PROPIOS
INVESTIGACIONES</t>
  </si>
  <si>
    <t xml:space="preserve">TRANSFORMACIÓN Y FORTALECIMIENTO DE LA CULTURA DE CALIDAD  ACADÉMICA E INVESTIGATIVA A TRAVÉS DE PLANES, PROGRAMAS Y PROYECTOS ESTRATÉGICOS, PROSPECTIVOS Y/O ACADÉMICOS E INVESTIGATIVOS, EN EL CONTEXTO DE LA COMUNIDAD ACADÉMICA DE LAS UTS. 2017   </t>
  </si>
  <si>
    <t>dotacion del salon 420 laboratorio de Quimica</t>
  </si>
  <si>
    <t>ADQUISICION DE UNA CELDA INTEGRADA DE MANUFACTURA PARA LOS ESTUDIANTES DE LOS DIFERENTES PROGRAMAS DE LAS LAS UTS</t>
  </si>
  <si>
    <t>ADQUISICION DE EQUIPOS E IMPLEMENTOS DEPORTIVOS PARA EL FORTALECIMIENTO DEL BIENESTAR INSTITUCIONAL DE LAS UTS.</t>
  </si>
  <si>
    <t>04 2017</t>
  </si>
  <si>
    <t>13 2016</t>
  </si>
  <si>
    <t xml:space="preserve">FORTALECIMIENTO DE LOS LABORATORIOS DE LA FCSE, MEDIANTE LA ADQUISICIÓN DE EQUIPOS </t>
  </si>
  <si>
    <t xml:space="preserve">RECURSOS PROPIOS
</t>
  </si>
  <si>
    <t>Adquisición de una celda flexible de manufactura</t>
  </si>
  <si>
    <t xml:space="preserve">aires acondicionados instalados en las oficinas </t>
  </si>
  <si>
    <t>05 2017</t>
  </si>
  <si>
    <t>RECURSOS CREE -  PLAN DE FOMENTO A LA CALIDAD</t>
  </si>
  <si>
    <t>15 2016</t>
  </si>
  <si>
    <t>18 2016</t>
  </si>
  <si>
    <t xml:space="preserve"> IMPLEMENTACION DE ESTRATEGIAS DE TECNIFICACIÓN DEL PROCESO DE BENEFICIO DEL CACAO SECO DE LOS PRODUCTORES DE SANTANDER</t>
  </si>
  <si>
    <t xml:space="preserve">ESTRATEGIA PARA LA INNOVACIÓN EN EL PROCESO DE GENERACIÓN DE CLONES DE CACAO RESISTENTES AL HONGO MONILIA QUE PERMITA INCREMENTAR LA PRODUCTIVIDAD DEL SECTOR EN SANTANDER, COLOMBIA. </t>
  </si>
  <si>
    <t>DOTACION DE EQUIPOS TECNOLOGICOS PARA EL  FORTALECIMIENTO  DE LAS AREAS ADMINISTRATIVAS Y ACADEMICAS DE LAS UNIDADES TECNOLOGICAS DE SANTANDER</t>
  </si>
  <si>
    <t>Adquisición de computadores para salas de informática y áreas administrativas
Adquisición de equipos para la emisora.
Adquisición de UPS, Scanner, radios,entre otros.</t>
  </si>
  <si>
    <t>03 2016</t>
  </si>
  <si>
    <t>16 2016</t>
  </si>
  <si>
    <t xml:space="preserve">Antiplagio </t>
  </si>
  <si>
    <t>FORTALECIMIENTO DE LA CULTURA INVESTIGATIVA A TRAVÉS DEL APOYO A SEMILLEROS, JÓVENES INVESTIGADORES Y ACTIVIDADES PARA LA DIVULGACIÓN DE PRODUCCIÓN CIENTÍFICA DE LAS UNIDADES TECNOLÓGICAS DE SANTANDER</t>
  </si>
  <si>
    <t>INSTRUMENTOS TÉCNICOS, PEDAGÓGICOS Y METODOLÓGICOS PARA EL FORTALECIMIENTO DE LA ACADEMIA A PARTIR DE LOS PLANES ESTRATÉGICOS PROSPECTIVOS DE SEIS PROGRAMAS ACADÉMICOS, PLAN DE INVESTIGACIÓN DESARROLLO TECNOLÓGICO E INNOVACIÓN Y COMPONENTES ESTRUCTURALES DEL MODELO DE AUTOEVALUACIÓN INSTITUCIONAL – MAE, DE LAS UTS, VIGENCIA 2017</t>
  </si>
  <si>
    <t>06 2017</t>
  </si>
  <si>
    <t>07 2017</t>
  </si>
  <si>
    <t xml:space="preserve">TRANSICION DEL SISTEMA DE GESTION DE CALIDAD DE LAS UNIDADES TECNOLÓGICAS DE SANTANDER A LA NORMA TECNICA DE CALIDAD ISO 9001:2015.
</t>
  </si>
  <si>
    <t>08 2017</t>
  </si>
  <si>
    <t>09-2017 CENTRO DE ALTO RENDIMIENTO</t>
  </si>
  <si>
    <t xml:space="preserve"> CREACION DEL LABORATORIO - CENTRO DE ALTO RENDIMIENTO PARA EL DESARROLLO DEL COMPONENTE PRACTICO DEL PROGRAMA ACTIVIDAD FISICA Y DEPORTE DE LAS UNIDADES TECNOLOGICAS DE SANTANDER</t>
  </si>
  <si>
    <t xml:space="preserve">Aula Magistral con infraestructura física y dotada tecnológicamente </t>
  </si>
  <si>
    <t>Adquisición de equipos y software para la implementacion del Centro de Alto Rendimiento</t>
  </si>
  <si>
    <t>RECURSOS CREE 2017</t>
  </si>
  <si>
    <t>ORDENANZA DOCENCIA/MISIONAL</t>
  </si>
  <si>
    <t xml:space="preserve">COMENTARIOS </t>
  </si>
  <si>
    <t>El valor reflejado en ésta tabla corresponde al saldo pendiente por pagar en la vigencia 2018
El proyecto tiene un valor de $1.900.752.366</t>
  </si>
  <si>
    <t xml:space="preserve">CREE 2016
FISICA Y TECNOLÓGICA </t>
  </si>
  <si>
    <t xml:space="preserve">El proyecto fue contemplado para vigencia futura </t>
  </si>
  <si>
    <t xml:space="preserve">Sala de idiomas con infraestructura física adecuada, dotada con recursos didácticos y tecnológicos al servicio de la comunidad estudiantil.
Estudiantes capacitados en los niveles A1, A2, B1, B2, apoyados en las ayudas didácticas que  le faciliten el aprendizaje del inglés.
</t>
  </si>
  <si>
    <t>El proyecto quedó en reserva presupuestal para la vigencia 2018</t>
  </si>
  <si>
    <t xml:space="preserve">Aula Magistral con infraestructura física y dotada tecnológicamente  </t>
  </si>
  <si>
    <t>El valor reflejado en ésta tabla corresponde al saldo pendiente por pagar en la vigencia 2018
El proyecto tiene un valor de $503.126.400</t>
  </si>
  <si>
    <t xml:space="preserve">SMMLV
FISICA Y TECNOLÓGICA </t>
  </si>
  <si>
    <t>Adecuación y dotacion del salon 420 laboratorio de Quimica</t>
  </si>
  <si>
    <t>El valor reflejado en ésta tabla corresponde al saldo pendiente por pagar en la vigencia 2018
El proyecto tiene un valor total de $1.032.342.151,16</t>
  </si>
  <si>
    <t>10 2017</t>
  </si>
  <si>
    <t xml:space="preserve">Para ejecución 100% en la vigencia 2018 </t>
  </si>
  <si>
    <t xml:space="preserve">ADQUISICION DE EQUIPOS Y SOFTWARE PARA LAS UTS </t>
  </si>
  <si>
    <t>BIENESTAR E INTERACCIÓN SOCIAL EN LA EDUCACIÓN VIRTUAL</t>
  </si>
  <si>
    <t>FORTALECIMIENTO DE LOS LABORATORIOS DE MÁQUINAS ELÉCTRICAS, MEDIDAS ELÉCTRICAS, INSTALACIONES E ILUMINACIÓN, TRABAJO EN ALTURAS, ELECTRÓNICA, MECÁNICA DE SUELOS Y ROCAS Y DE MONITOREO DE FENÓMENOS AMBIENTAL DE LA FACULTAD, DE CIENCIAS NATURALES E INGENIERÍAS.</t>
  </si>
  <si>
    <t>ADQUISICION DE EQUIPOS Y ELEMENTOS PARA EL LABORATORIO DE METODOS Y TIEMPOS EN LAS UTS.</t>
  </si>
  <si>
    <t>CREACIÓN DE UN LABORATORIO EMPRESARIAL VIRTUAL QUE FAVOREZCA EL DESARROLLO DE COMPETENCIAS DE LOS ESTUDIANTES DE LA FACULTAD DE CIENCIAS SOCIOECONÓMICAS Y EMPRESARIALES A TRAVÉS DE LA INTEGRACIÓN DE CONOCIMIENTOS INTERACTIVOS DE LOS PROFESORES</t>
  </si>
  <si>
    <t>Dotar y acondicionar espacios que permitan el desarrollo de recursos digitales para el aprendizaje y el bienestar institucional en beneficio de la población estudiantil en modalidad presencial y modalidad virtual.</t>
  </si>
  <si>
    <t xml:space="preserve">Adquirir los equipos y fortalecer los laboratorios </t>
  </si>
  <si>
    <t>Dirigido a estudiantes de tecnologia en Produccion industrial e ingenieria Industrial.(Nuevo a ofertar).Así mismo se benefician los programas de administracion de empresas por ciclos propedeuticos, Marketing y Negocios internacionales y Tecnologia en Gestion Agroindustial.</t>
  </si>
  <si>
    <t>Crear un laboratorio empresarial virtual que permita la adecuación de una herramienta informática que favorezca la integración de los programas de la FCSEE a través del uso de escenarios de aprendizaje simulados basados en la investigación formativa y en sentido estricto que aporten al desarrollo de las competencias de los estudiantes.</t>
  </si>
  <si>
    <t>ADECUACIÓN DEL GIMNASIO SEDE PRINCIPAL UTS</t>
  </si>
  <si>
    <t>ADECUACIÓN ARCHIVO INSTITUCIONAL SEDE PRINCIPAL UTS</t>
  </si>
  <si>
    <t>Integrar las actividades relacionadas con el gimnasio en el mismo espacio debidamente adecuado.</t>
  </si>
  <si>
    <t>Garantizar el correcto manejo de los archivos institucionales de acuerdo a norma existente.</t>
  </si>
  <si>
    <t>La ampliación de la sede principal actualmente en construcción requiere generar un nuevo acceso peatonal y vehicular que garantiza el buen funcionamiento de la Institución.</t>
  </si>
  <si>
    <t xml:space="preserve">
ADECUACION DE LA PLAZOLETA NUEVO ACCESO SEDE PRINCIPAL UTS</t>
  </si>
  <si>
    <t>MODELO DE GESTIÓN DE CULTURA CIUDADANA A TRAVÉS DE DESARROLLO WEB, MINERÍA DE DATOS E INTERNET DE LAS COSAS PARA FORTALECER LA ESTRATEGIA TERRITORIO INTELIGENTE EN EL ÁREA DE INFLUENCIA DE LAS UNIDADES TECNOLÓGICAS DE SANTANDER. – PROGRAMA DE INGENIERÍA DE SISTEMAS POR CICLOS PROPEDÉUTICOS.</t>
  </si>
  <si>
    <t xml:space="preserve">FORTALECIMIENTO DE LA GESTIÓN Y CULTURA INVESTIGATIVA A TRAVÉS DEL APOYO A LOS SEMILLEROS DE INVESTIGACIÓN, EVENTO SEMILLA EXPO,  JÓVENES INVESTIGADORES Y PRODUCCIÓN CIENTÍFICA (DIVULGACIÓN, PROTECCIÓN DE INVENCIONES Y DE ORIGINALIDAD) - VIGENCIA 2018. </t>
  </si>
  <si>
    <t>APOYO PARA EL RECONOCIMIENTO E INCENTIVO DE LA PRODUCCIÓN CIENTÍFICA DE LAS UNIDADES TECNOLÓGICAS DE SANTANDER – VIGENCIA 2018</t>
  </si>
  <si>
    <t xml:space="preserve">ESTRATEGIA DE TECNIFICACIÓN DEL PROCESO DE BENEFICIO DEL CACAO PARA MEJORAR LA CALIDAD DEL CACAO SECO DE LOS PRODUCTORES DE SANTANDER. </t>
  </si>
  <si>
    <t>Elaborar un modelo de gestión de cultura ciudadana a través del desarrollo web e Internet de las cosas, para fortalecer la estrategia Territorio Inteligente en el área de influencia de las Unidades Tecnológicas de Santander.</t>
  </si>
  <si>
    <t>Proveer los recursos económicos para el desarrollo de actividades que promuevan el desarrollo y sostenimiento de una cultura investigativa en las Unidades Tecnológicas de Santander, mediante la implementación de estrategias que involucren a estudiantes y docentes.</t>
  </si>
  <si>
    <t>Incentivar la producción científica de los docentes y comunidad académica que apoye los procesos de planeación, ejecución y evaluación de acciones de los ejes misionales, a través de estímulos económicos, con miras a aumentar la cantidad y calidad de producción científica de la institución.</t>
  </si>
  <si>
    <t>Diseñar e implementar una estrategia de investigación, desarrollo e innovación, en tecnologías, procesos, metodologías, productos y aprendizaje que mediante el uso de la Ciencia, Tecnología e Innovación -CTeI favorezcan el fortalecimiento de la productividad del sector agroindustrial del área de injerencia de las UTS en el sector rural del departamento de Santander.</t>
  </si>
  <si>
    <t>Ejecutar un proyecto de investigación orientado a incrementar la calidad del grano del cacao en el proceso de fermentación, mediante la tecnificación de la etapa de beneficio con el fin de mejorar la calidad de vida de los cacaoteros de Santander.</t>
  </si>
  <si>
    <t>GESTIÓN SUSTENTABLE DE LA BIODIVERSIDAD PARA APOYAR LA PROTECCION Y USO SOTENIBLE -BIO UTS.</t>
  </si>
  <si>
    <t>SANTANDER, TERRITORIO INTELIGENTE.</t>
  </si>
  <si>
    <t>ACCIONES PARA EL FORTALECIMIENTO DE LA INVESTIGACIÓN FORMATIVA, INVESTIGACIÓN EN SENTIDO ESTRICTO Y EXTENSIÓN EN LA COMUNIDAD ACADÉMICA DE LAS UTS 2018.</t>
  </si>
  <si>
    <t>Desarrollar una estrategia de gestión del conocimiento para la gestión sustentable de la biodiversidad, el territorio y el agua, a través de la intervención de unidades bio-regionales humedales del Magdalena y corredores altos andinos, con un enfoque de desarrollo local sostenible basado en la gobernanza.</t>
  </si>
  <si>
    <t>Propiciar  el desarrollo de una visión compartida de cambio que contribuya a construir el futuro del  territorio Santandereano, basado en la sostenibilidad, la responsabilidad social y ambiental, el aprendizaje y la gestión del conocimiento, la innovación social, la participación ciudadana y la comunicación institucional, bajo un visión compartida de cambio y principios de gobernanza ampliada e incluyente, para transfórmalo en un territorio  inteligente</t>
  </si>
  <si>
    <t>Fortalecer los procesos de investigación en sentido estricto, investigación formativa y de extensión en las UTS mediante actividades de acompañamiento como estrategia para la apropiación del Sistema Institucional de investigaciones y Extensión y el posicionamiento institucional en el ámbito científico, académico, empresarial, social y cultural de la región.</t>
  </si>
  <si>
    <t>El proyecto esta articulado a convenios de colaboración institucional con la Fundación Zizua y Corporación ZIZEA y su contrapartida es en especie.</t>
  </si>
  <si>
    <t xml:space="preserve">Esta articualdo con proyecto: “Innovación por una cultura ciudadana participativa mediante la investigación del comportamiento social apoyado en TIC”.
</t>
  </si>
  <si>
    <t xml:space="preserve">INVESTIGACIONES </t>
  </si>
  <si>
    <t xml:space="preserve">PRO UIS </t>
  </si>
  <si>
    <t xml:space="preserve"> ORDENANZA </t>
  </si>
  <si>
    <t xml:space="preserve">VALOR APROBADO PRESUPUESTO PARA 2018 </t>
  </si>
  <si>
    <t>VALOR COMPROMETIDO EN PROYECTOS</t>
  </si>
  <si>
    <t>PROUIS</t>
  </si>
  <si>
    <t>POR INCORPORAR DE 2017</t>
  </si>
  <si>
    <t xml:space="preserve"> </t>
  </si>
  <si>
    <t xml:space="preserve">CREE 2017 </t>
  </si>
  <si>
    <t>CREACION DEL LABORATORIO - CENTRO DE ALTO RENDIMIENTO PARA EL DESARROLLO DEL COMPONENTE PRACTICO DEL PROGRAMA ACTIVIDAD FISICA Y DEPORTE DE LAS UNIDADES TECNOLOGICAS DE SANTANDER</t>
  </si>
  <si>
    <t>DOTACION TECNOLÓGICA PARA LA IMPLEMENTACIÓN DEL  LABORATORIO DE ALTA TENSIÓN PARA LAS UTS SEDE BUCARAMANGA.</t>
  </si>
  <si>
    <t>ADQUISICION TECNOLÓGICA PARA EL “CENTRO DE INNOVACIÓN Y DESARROLLO TECNOLÓGICO EMPRESARIAL PARA LA MODA SOSTENIBLE” -CIDTE- DE LAS UNIDADES TECNOLÓGICAS DE SANTANDER.</t>
  </si>
  <si>
    <t>IMPLEMENTACIÓN DE HERRAMIENTAS TECNOLÓGICAS PARA EL ACCESO A LA INFORMACIÓN BIBLIOGRÁFICA DEL GRUPO RECURSOS DE INFORMACIÓN PARA LA ENSEÑANZA Y EL APRENDIZAJE DE LAS UNIDADES TECNOLÓGICAS DE SANTANDER</t>
  </si>
  <si>
    <t>TUTORÍA COMO ESPACIO DE REFUERZO COGNITIVO Y METODOLÓGICO PARA LAS UNIDADES TECNOLÓGICAS DE SANTANDER</t>
  </si>
  <si>
    <t>FORTALECIMIENTO DEL MODELO DE VIRTUALIZACION PARA LA GESTION DEL APRENDIZAJE EN LINEA Y OPTIMIZACION DEL DESEMPEÑO ACADEMICO MEDIANTE ACCIONES PARA LA PERMANENCIA ESTUDIANTIL CON EL USO DE LAS TIC EN LAS UNIDADES TECNOLOGICAS DE SANTANDER</t>
  </si>
  <si>
    <t xml:space="preserve">Dotar las instalaciones del LABORATORIO - CENTRO DE ALTO RENDIMIENTO con equipos de última generación tecnológica necesarios para la investigación, análisis, rehabilitación y formación deportiva y de esta  manera, fortalecer los planes de entrenamiento y preparación específica de las diferentes disciplinas deportivas en sus distintos niveles de competición.   </t>
  </si>
  <si>
    <t>Adquirir la dotación tecnológica para implementar el laboratorio de alta tensión para la Facultad de Ciencias Naturales e Ingenierías, con los equipos necesarios para el montaje de las pruebas básicas que se requieren en el buen desarrollo de las diferentes asignaturas del programa, con miras a contribuir en una formación integral de los tecnólogos e ingenieros, para que con su aporte contribuyan en el mejoramiento de la alta calidad académica en la institución.</t>
  </si>
  <si>
    <t>Adquirir equipos especializados para el “Centro de Innovación y Desarrollo Tecnológico Empresarial para la moda sostenible” -CIDTE-, dedicado a la orientación de cursos, la investigación formativa, servicios de consultoría y asesoría empresarial para el sector manufacturero en Santander, a partir de la nueva propuesta académica en Diseño de Modas por ciclos propedéuticos  de las Unidades Tecnológicos de Santander.</t>
  </si>
  <si>
    <t>Fortalecer y actualizar las colecciones bibliográficas y bases de datos digitales con el fin de satisfacer las necesidades de información tanto física y digital de todos los usuarios, garantizando la generación de conocimiento y el desarrollo tecnológico de la institución.</t>
  </si>
  <si>
    <t>Fortalecer los índices de permanencia estudiantil mediante la implementación de tutorías cognitivas para las UTS.</t>
  </si>
  <si>
    <t xml:space="preserve">Delimitar y definir el modelo de virtualización para la gestión del aprendizaje en línea y optimización del desempeño académico con el uso de las TIC en las Unidades Tecnológicas de Santander </t>
  </si>
  <si>
    <t xml:space="preserve">INVERSION 2018 </t>
  </si>
  <si>
    <t xml:space="preserve">Docencia </t>
  </si>
  <si>
    <t>Misional</t>
  </si>
  <si>
    <t xml:space="preserve">OTROS PROYECTOS DE INVERSION </t>
  </si>
  <si>
    <t>CREE 2017</t>
  </si>
  <si>
    <t>ORDENANZA/MISIONAL</t>
  </si>
  <si>
    <t>ORDENANZA/DOCENCIA</t>
  </si>
  <si>
    <t xml:space="preserve">ADQUISICION DE EQUIPOS COMPUTO Y AUDIOVISUALES PARA LAS UTS </t>
  </si>
  <si>
    <t>Fortalecer los laboratorios de:
*máquinas eléctricas:$290.000.000 
*medidas eléctricas $150.000.000
*Instalaciones eléctricas e iluminación $130.000.000
*trabajo seguro en alturas$150.000.000
*monitoreo de fenómenos ambientales $343.000.000
e implementar los laboratorios de Mecánica de Suelos y Rocas en la sede de Bucaramanga y los Laboratorios de Instalaciones Eléctricas e Iluminación y Trabajo Seguro en Alturas en la sede de Barrancabermeja, pertenecientes la Facultad de Ciencias Naturales E Ingenierías de las UTS.</t>
  </si>
  <si>
    <t>Equipos de cómputo para las UTS</t>
  </si>
  <si>
    <t xml:space="preserve">Crear un laboratorio empresarial virtual que permita la adecuación de una herramienta informática que favorezca la integración de los programas de la FCSEE a través del uso de escenarios de aprendizaje simulados basados en la investigación formativa y en sentido estricto que aporten al desarrollo de las competencias de los estudiantes.
El proyecto beneficia a los programas de ciclos propedeúticos: Administracion de empresas, contaduria pública, mercadeo, deportiva, gestión agroindustrial, banca y finanzas, y turismo sostenible, aspi como también los egresados de cada uno de los programas. </t>
  </si>
  <si>
    <t>ADECUACION DE ESPACIO FISICO PARA LA CREACION DE UNA PLAZOLETA PARA EL NUEVO ACCESO DE LA COMUNIDAD EDUCATIVA DE LA SEDE PRINCIPAL UTS.</t>
  </si>
  <si>
    <t>Construir una plazoleta a nivel de primer piso que garantice un nuevo acceso de los estudiantes y comunidad en general por la Avenida los Samanes.</t>
  </si>
  <si>
    <t>CREE 2017 PARA EJECUCION EN 2018</t>
  </si>
  <si>
    <t>NOMBRE PROYECTO</t>
  </si>
  <si>
    <t>RESULTADO DEL PROYECTO</t>
  </si>
  <si>
    <t xml:space="preserve">FUENTE DE FINANCIACION </t>
  </si>
  <si>
    <t>TECNOLÓGICA (EQUIPOS)</t>
  </si>
  <si>
    <t>BIBLIOGRÁFICA</t>
  </si>
  <si>
    <t>PERMANENCIA</t>
  </si>
  <si>
    <t xml:space="preserve">PROPIOS/ 05369003
Proyectos de Inversion Nueva Construccion.
</t>
  </si>
  <si>
    <t xml:space="preserve">NUEVA CONSTRUCCION </t>
  </si>
  <si>
    <t xml:space="preserve"> ANEXO 2 INVERSION 2018 </t>
  </si>
  <si>
    <t>ADECUACIÓN COLISEO SEDE PRINCIPAL UNIDADES TECNOLÓGICAS DE SANTANDER BUCARAMANGA</t>
  </si>
  <si>
    <t>CONSTRUCCIÓN EDIFICIO D SEDE PRINCIPAL UNIDADES TECNOLÓGICAS DE SANTANDER</t>
  </si>
  <si>
    <t>Construir un edificio de 4 plantas que incluya espacios administrativos de bienestar universitario y procesos académicos nuevos.</t>
  </si>
  <si>
    <t xml:space="preserve">OTROS PROGRAMAS DE INVERSION </t>
  </si>
  <si>
    <t xml:space="preserve">RECURSOS PROPIOS:
INVERSIÓN DOCENCIA </t>
  </si>
  <si>
    <t>ORDENANZA/PROPIOS</t>
  </si>
  <si>
    <t xml:space="preserve">PENDIENTE POR APROBACION EN BANCO DE PROYECTOS </t>
  </si>
  <si>
    <t xml:space="preserve">RDB </t>
  </si>
  <si>
    <t>1.500.000.000
05369003:
Proyectos de Inversion Nueva Construccion.
2.600.000.000
Recursos del Balance (PENDIENTE INCORPORAR)</t>
  </si>
  <si>
    <t xml:space="preserve">Adecuar el espacio del coliseo para aumentar el área útil e incorporar las nuevas áreas para el servicio de la comunidad UTEISTA
</t>
  </si>
  <si>
    <t xml:space="preserve">
PROUIS FISICA:800.000.000
</t>
  </si>
  <si>
    <t>CREE</t>
  </si>
  <si>
    <t>PRESUPUESTO POR EJECUTAR 2018</t>
  </si>
  <si>
    <t xml:space="preserve">MEJORAMIENTO DE LA INFRAESTRUCTURA DE LOS LABORATORIOS DE LA FACULTAD DE CIENCIAS NATURALES E INGENIERIAS DE LAS UNIDADES TECNOLÓGICAS DE SANTANDER.
</t>
  </si>
  <si>
    <t>Adecuar el espacio del coliseo para aumentar el área útil e incorporar las nuevas áreas para el servicio de la comunidad UTEISTA</t>
  </si>
  <si>
    <r>
      <t xml:space="preserve">
PROUIS FISICA:400.000.000
POR DEFINIR FUENTE: 400.000.000
</t>
    </r>
    <r>
      <rPr>
        <b/>
        <sz val="11"/>
        <color theme="1"/>
        <rFont val="Calibri"/>
        <family val="2"/>
        <scheme val="minor"/>
      </rPr>
      <t>TOTAL PROYECTO: 800.000.000</t>
    </r>
  </si>
  <si>
    <r>
      <t xml:space="preserve">Proyectos de Inversion Nueva Construccion: 1.500.000.000
Recursos del Balance (PENDIENTE INCORPORAR)
2.600.000.000
</t>
    </r>
    <r>
      <rPr>
        <b/>
        <sz val="11"/>
        <color theme="1"/>
        <rFont val="Calibri"/>
        <family val="2"/>
        <scheme val="minor"/>
      </rPr>
      <t>TOTAL PROYECTO: $4.100.000.000</t>
    </r>
  </si>
  <si>
    <t>PROPIOS/ 05369003
Proyectos de Inversion Nueva Construccion.
$5.500.000.000</t>
  </si>
  <si>
    <t>TECNOLOGICA (EQUIP)</t>
  </si>
  <si>
    <t xml:space="preserve">RECURSOS PROPIOS: INVESTIGACIONES </t>
  </si>
  <si>
    <t xml:space="preserve">fortalecimiento de la cultura investigativa </t>
  </si>
  <si>
    <t>Desarrollo tecnológico e innovación</t>
  </si>
  <si>
    <t>Renovación de suscripción a licencia de licencia de herramienta de prevención de plagio.</t>
  </si>
  <si>
    <t>Ya se aprobó y se contrató la docencia para investigaciones</t>
  </si>
  <si>
    <t>11 2018</t>
  </si>
  <si>
    <t>FORTALECIMIENTO DE LOS LABORATORIOS DE LA FACULTAD DE CIENCIAS NATURALES E INGENIERÍAS CON EL PROPÓSITO DE CONTRIBUIR CON LOS PROCESOS DE INVESTIGACIÓN EN SENTIDO ESTRICTO E INVESTIGACIÓN FORMATIVA EN LOS PROGRAMAS ACADÉMICOS.</t>
  </si>
  <si>
    <t xml:space="preserve">05 2018 </t>
  </si>
  <si>
    <t>FORTALECIMIENTO DE LA GESTIÓN Y CULTURA INVESTIGATIVA A TRAVÉS DEL APOYO A LOS SEMILLEROS DE INVESTIGACIÓN, EVENTO SEMILLA EXPO Y PRODUCCIÓN CIENTÍFICA (DIVULGACIÓN Y PROTECCIÓN DE INVENCIONES) - VIGENCIA 2018.</t>
  </si>
  <si>
    <t xml:space="preserve">06 2018 </t>
  </si>
  <si>
    <t>RENOVACION A LA SUSCRIPCION DE LA HERRAMIENTA INFORMATICA DE PREVENCION DE PLAGIO - VIGENCIA 2018.</t>
  </si>
  <si>
    <t>08 2018</t>
  </si>
  <si>
    <t xml:space="preserve">02 2018 </t>
  </si>
  <si>
    <t xml:space="preserve">03 2018 </t>
  </si>
  <si>
    <t xml:space="preserve">10 2018 </t>
  </si>
  <si>
    <t xml:space="preserve">09 2018 </t>
  </si>
  <si>
    <t>09 2017</t>
  </si>
  <si>
    <t xml:space="preserve">14 2018 </t>
  </si>
  <si>
    <t xml:space="preserve">MEJORAMIENTO DE LA INFRAESTRUCTURA DE LOS LABORATORIOS DE LA FACULTAD DE CIENCIAS NATURALES E INGENIERIAS DE LAS UNIDADES TECNOLOGICAS DE SANTANDER </t>
  </si>
  <si>
    <t>PROUIS
PROPIOS</t>
  </si>
  <si>
    <t>PROPIOS: $430.000.000 
PROUIS: $400.000.000</t>
  </si>
  <si>
    <t>16 2018</t>
  </si>
  <si>
    <t>PROUIS/ EQUIPOS</t>
  </si>
  <si>
    <t xml:space="preserve">PROUIS/EQUIPOS </t>
  </si>
  <si>
    <t>FORTALECIMIENTO DE LABORATORIOS Y SOFTWARE DE LA FACULTAD DE CIENCIAS SOCIOECONÓMICAS Y EMPRESARIALES CON EL PROPÓSITO DE FAVORECER LOS PROCESOS DE DOCENCIA, INVESTIGACIÓN FORMATIVA, INVESTIGACIÓN EN SENTIDO ESTRICTO Y EXTENSIÓN EN LOS PROGRAMAS ACADÉMICOS QUE LA COMPONEN.</t>
  </si>
  <si>
    <t xml:space="preserve">VALOR APROBADO SEGÚN PRESUPUESTO PARA 2018 </t>
  </si>
  <si>
    <t>Elaborado por: Katherine Gáfaro G. - Oficina de Planeación</t>
  </si>
  <si>
    <t>ADQUISICIÓN DE EQUIPOS TECNOLOGICOS Y AUDIOVISUALES PARA LA COMUNIDAD ACADÉMICA Y ADMINISTRATIVA DE LAS UNIDADES TECNOLOGICAS DE SANTANDER. BUCARAMANGA (REGALÍAS)</t>
  </si>
  <si>
    <t xml:space="preserve">DESARROLLO TECNOLOGICO E INNOVACION </t>
  </si>
  <si>
    <t>PRESUPUESTO POR PLANIFICAR 2018</t>
  </si>
  <si>
    <t xml:space="preserve">PRESUPUESTO INVESTIGACIONES APROBADO SEGÚN PRESUPUESTO 2018 </t>
  </si>
  <si>
    <t>Fortalecimiento de la cultura investigativa. </t>
  </si>
  <si>
    <t xml:space="preserve">TOTAL INVESTIGACIONES </t>
  </si>
  <si>
    <t>PRESUPUESTO POR PLANIFICAR PARA INVESTIGACIONES 2018</t>
  </si>
  <si>
    <t xml:space="preserve">PROPIOS / EQUIPOS </t>
  </si>
  <si>
    <t xml:space="preserve">ADQUISICION TECNOLÓGICA PARA EL “CENTRO DE INNOVACIÓN Y DESARROLLO TECNOLÓGICO EMPRESARIAL PARA LA MODA SOSTENIBLE” -CIDTE- DE LAS UNIDADES TECNOLÓGICAS DE SANTANDER. ANULADO </t>
  </si>
  <si>
    <t xml:space="preserve">UNIDADES TECNOLÓGICAS  DE SANTANDER - OFICINA DE PLANEACIÓN. </t>
  </si>
  <si>
    <t xml:space="preserve">PLANIFICACION DE LA INVERSION EN INVESTIGACIÓN 2018 </t>
  </si>
  <si>
    <t>ADQUISICION DE UNA CELDA INTEGRADA DE MANUFACTURA PARA LOS ESTUDIANTES DE LOS DIFERENTES PROGRAMAS DE LAS  UTS</t>
  </si>
  <si>
    <t xml:space="preserve">Adecuar el espacio del sótano del edificio A con la construcción para cuatro laboratorios con un área aproximada de 488 m2, con su adecuación física, instalación hidráulica y sanitaria, instalación de redes y puntos eléctricos y ductos e instalación de aire acondicionado, adecuación de los laboratorios de hidráulica y los almacenes de electrónica y electricidad </t>
  </si>
  <si>
    <t xml:space="preserve">Crear un laboratorio empresarial virtual que permita la adecuación de una herramienta informática que favorezca la integración de los programas de la FCSEE a través del uso de escenarios de aprendizaje simulados basados en la investigación formativa y en sentido estricto que aporten al desarrollo de las competencias de los estudiantes.
El proyecto beneficia a los programas de ciclos propedéuticos: Administración de empresas, contaduría pública, mercadeo, deportiva, gestión agroindustrial, banca y finanzas, y turismo sostenible, aspi como también los egresados de cada uno de los programas. </t>
  </si>
  <si>
    <t>Invest., Desarrollo tecnológico e innovación. </t>
  </si>
  <si>
    <t>fondo para producción intelectual docente </t>
  </si>
  <si>
    <t xml:space="preserve">Revisado por: Rosmira Bohórquez Pedraza - Jefe Oficina de Planeación </t>
  </si>
  <si>
    <t>NOTA: Información disponible en la ofricina de Planeación-UTS.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</si>
</sst>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5" formatCode="&quot;$&quot;\ #,##0;\-&quot;$&quot;\ #,##0"/>
    <numFmt numFmtId="42" formatCode="_-&quot;$&quot;\ * #,##0_-;\-&quot;$&quot;\ * #,##0_-;_-&quot;$&quot;\ * &quot;-&quot;_-;_-@_-"/>
    <numFmt numFmtId="44" formatCode="_-&quot;$&quot;\ * #,##0.00_-;\-&quot;$&quot;\ * #,##0.00_-;_-&quot;$&quot;\ * &quot;-&quot;??_-;_-@_-"/>
    <numFmt numFmtId="164" formatCode="_(* #,##0_);_(* \(#,##0\);_(* &quot;-&quot;_);_(@_)"/>
    <numFmt numFmtId="165" formatCode="&quot;$&quot;\ #,##0_);[Red]\(&quot;$&quot;\ #,##0\)"/>
    <numFmt numFmtId="166" formatCode="_(&quot;$&quot;\ * #,##0_);_(&quot;$&quot;\ * \(#,##0\);_(&quot;$&quot;\ * &quot;-&quot;_);_(@_)"/>
    <numFmt numFmtId="167" formatCode="_(&quot;$&quot;\ * #,##0.00_);_(&quot;$&quot;\ * \(#,##0.00\);_(&quot;$&quot;\ * &quot;-&quot;??_);_(@_)"/>
    <numFmt numFmtId="168" formatCode="_(&quot;$&quot;\ * #,##0_);_(&quot;$&quot;\ * \(#,##0\);_(&quot;$&quot;\ * &quot;-&quot;??_);_(@_)"/>
    <numFmt numFmtId="169" formatCode="_([$$-240A]\ * #,##0.00_);_([$$-240A]\ * \(#,##0.00\);_([$$-240A]\ * &quot;-&quot;??_);_(@_)"/>
    <numFmt numFmtId="170" formatCode="_([$$-240A]\ * #,##0_);_([$$-240A]\ * \(#,##0\);_([$$-240A]\ * &quot;-&quot;??_);_(@_)"/>
    <numFmt numFmtId="171" formatCode="_-[$$-240A]\ * #,##0.00_-;\-[$$-240A]\ * #,##0.00_-;_-[$$-240A]\ * &quot;-&quot;??_-;_-@_-"/>
    <numFmt numFmtId="172" formatCode="[$$-240A]\ #,##0"/>
    <numFmt numFmtId="173" formatCode="&quot;$&quot;\ #,##0"/>
    <numFmt numFmtId="174" formatCode="_-&quot;$&quot;\ * #,##0_-;\-&quot;$&quot;\ * #,##0_-;_-&quot;$&quot;\ * &quot;-&quot;??_-;_-@_-"/>
    <numFmt numFmtId="175" formatCode="_-&quot;$&quot;\ * #,##0.0000_-;\-&quot;$&quot;\ * #,##0.0000_-;_-&quot;$&quot;\ * &quot;-&quot;??_-;_-@_-"/>
  </numFmts>
  <fonts count="20" x14ac:knownFonts="1">
    <font>
      <sz val="11"/>
      <color theme="1"/>
      <name val="Calibri"/>
      <family val="2"/>
      <scheme val="minor"/>
    </font>
    <font>
      <b/>
      <sz val="11"/>
      <color theme="1"/>
      <name val="Calibri"/>
      <family val="2"/>
      <scheme val="minor"/>
    </font>
    <font>
      <sz val="11"/>
      <color rgb="FF000000"/>
      <name val="Calibri"/>
      <family val="2"/>
      <scheme val="minor"/>
    </font>
    <font>
      <sz val="11"/>
      <color theme="1"/>
      <name val="Calibri"/>
      <family val="2"/>
      <scheme val="minor"/>
    </font>
    <font>
      <sz val="9"/>
      <color theme="1"/>
      <name val="Calibri"/>
      <family val="2"/>
      <scheme val="minor"/>
    </font>
    <font>
      <sz val="11"/>
      <name val="Calibri"/>
      <family val="2"/>
      <scheme val="minor"/>
    </font>
    <font>
      <b/>
      <sz val="14"/>
      <color theme="1"/>
      <name val="Calibri"/>
      <family val="2"/>
      <scheme val="minor"/>
    </font>
    <font>
      <b/>
      <sz val="22"/>
      <color theme="1"/>
      <name val="Calibri"/>
      <family val="2"/>
      <scheme val="minor"/>
    </font>
    <font>
      <sz val="10"/>
      <color theme="1"/>
      <name val="Calibri"/>
      <family val="2"/>
      <scheme val="minor"/>
    </font>
    <font>
      <b/>
      <sz val="18"/>
      <color theme="1"/>
      <name val="Calibri"/>
      <family val="2"/>
      <scheme val="minor"/>
    </font>
    <font>
      <b/>
      <sz val="9"/>
      <color indexed="81"/>
      <name val="Tahoma"/>
      <family val="2"/>
    </font>
    <font>
      <sz val="9"/>
      <color indexed="81"/>
      <name val="Tahoma"/>
      <family val="2"/>
    </font>
    <font>
      <sz val="10"/>
      <name val="Calibri"/>
      <family val="2"/>
      <scheme val="minor"/>
    </font>
    <font>
      <b/>
      <sz val="13"/>
      <color theme="1"/>
      <name val="Calibri"/>
      <family val="2"/>
      <scheme val="minor"/>
    </font>
    <font>
      <b/>
      <sz val="12"/>
      <color theme="1"/>
      <name val="Calibri"/>
      <family val="2"/>
      <scheme val="minor"/>
    </font>
    <font>
      <b/>
      <sz val="25"/>
      <color theme="1"/>
      <name val="Calibri"/>
      <family val="2"/>
      <scheme val="minor"/>
    </font>
    <font>
      <sz val="10"/>
      <color theme="1"/>
      <name val="Arial"/>
      <family val="2"/>
    </font>
    <font>
      <sz val="10"/>
      <name val="Arial"/>
      <family val="2"/>
    </font>
    <font>
      <b/>
      <sz val="10"/>
      <color theme="1"/>
      <name val="Arial"/>
      <family val="2"/>
    </font>
    <font>
      <sz val="10"/>
      <color rgb="FFC00000"/>
      <name val="Arial"/>
      <family val="2"/>
    </font>
  </fonts>
  <fills count="15">
    <fill>
      <patternFill patternType="none"/>
    </fill>
    <fill>
      <patternFill patternType="gray125"/>
    </fill>
    <fill>
      <patternFill patternType="solid">
        <fgColor theme="0"/>
        <bgColor indexed="64"/>
      </patternFill>
    </fill>
    <fill>
      <patternFill patternType="solid">
        <fgColor theme="2" tint="-0.249977111117893"/>
        <bgColor indexed="64"/>
      </patternFill>
    </fill>
    <fill>
      <patternFill patternType="solid">
        <fgColor theme="1" tint="0.49998474074526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5"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3">
    <xf numFmtId="0" fontId="0" fillId="0" borderId="0"/>
    <xf numFmtId="167" fontId="3" fillId="0" borderId="0" applyFont="0" applyFill="0" applyBorder="0" applyAlignment="0" applyProtection="0"/>
    <xf numFmtId="42" fontId="3" fillId="0" borderId="0" applyFont="0" applyFill="0" applyBorder="0" applyAlignment="0" applyProtection="0"/>
  </cellStyleXfs>
  <cellXfs count="425">
    <xf numFmtId="0" fontId="0" fillId="0" borderId="0" xfId="0"/>
    <xf numFmtId="0" fontId="2" fillId="0" borderId="1" xfId="0" applyFont="1" applyBorder="1" applyAlignment="1">
      <alignment vertical="center" wrapText="1"/>
    </xf>
    <xf numFmtId="0" fontId="0" fillId="0" borderId="1" xfId="0" applyBorder="1" applyAlignment="1" applyProtection="1">
      <alignment horizontal="justify" vertical="center" wrapText="1"/>
      <protection locked="0"/>
    </xf>
    <xf numFmtId="0" fontId="2" fillId="0" borderId="1" xfId="0" applyFont="1" applyBorder="1" applyAlignment="1">
      <alignment horizontal="center" vertical="center" wrapText="1"/>
    </xf>
    <xf numFmtId="0" fontId="0" fillId="2" borderId="1" xfId="0" applyFill="1" applyBorder="1" applyAlignment="1" applyProtection="1">
      <alignment horizontal="center" vertical="center" wrapText="1"/>
      <protection locked="0"/>
    </xf>
    <xf numFmtId="0" fontId="0" fillId="0" borderId="0" xfId="0" applyAlignment="1">
      <alignment vertical="center"/>
    </xf>
    <xf numFmtId="0" fontId="0" fillId="0" borderId="0" xfId="0" applyAlignment="1">
      <alignment vertical="center" wrapText="1"/>
    </xf>
    <xf numFmtId="168" fontId="0" fillId="0" borderId="1" xfId="1" applyNumberFormat="1" applyFont="1" applyBorder="1" applyAlignment="1">
      <alignment vertical="center" wrapText="1"/>
    </xf>
    <xf numFmtId="0" fontId="1" fillId="3" borderId="1" xfId="0" applyFont="1" applyFill="1" applyBorder="1" applyAlignment="1">
      <alignment horizontal="center" vertical="center" wrapText="1"/>
    </xf>
    <xf numFmtId="166" fontId="1" fillId="0" borderId="1" xfId="0" applyNumberFormat="1" applyFont="1" applyBorder="1" applyAlignment="1">
      <alignment vertical="center"/>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vertical="center"/>
    </xf>
    <xf numFmtId="0" fontId="0" fillId="0" borderId="1" xfId="0" applyBorder="1" applyAlignment="1">
      <alignment horizontal="left" vertical="center" wrapText="1"/>
    </xf>
    <xf numFmtId="166" fontId="0" fillId="0" borderId="1" xfId="0" applyNumberFormat="1" applyBorder="1" applyAlignment="1">
      <alignment vertical="center" wrapText="1"/>
    </xf>
    <xf numFmtId="168" fontId="0" fillId="0" borderId="1" xfId="0" applyNumberFormat="1" applyBorder="1" applyAlignment="1">
      <alignment vertical="center" wrapText="1"/>
    </xf>
    <xf numFmtId="167" fontId="0" fillId="0" borderId="1" xfId="0" applyNumberFormat="1" applyBorder="1" applyAlignment="1">
      <alignment vertical="center" wrapText="1"/>
    </xf>
    <xf numFmtId="167" fontId="0" fillId="0" borderId="1" xfId="0" applyNumberFormat="1" applyBorder="1" applyAlignment="1">
      <alignment vertical="center"/>
    </xf>
    <xf numFmtId="168" fontId="0" fillId="0" borderId="1" xfId="0" applyNumberFormat="1" applyBorder="1"/>
    <xf numFmtId="0" fontId="0" fillId="6" borderId="1" xfId="0" applyFill="1" applyBorder="1" applyAlignment="1">
      <alignment vertical="center"/>
    </xf>
    <xf numFmtId="0" fontId="1" fillId="0" borderId="0" xfId="0" applyFont="1" applyAlignment="1">
      <alignment horizontal="center" vertical="center"/>
    </xf>
    <xf numFmtId="0" fontId="0" fillId="0" borderId="1" xfId="0" applyBorder="1" applyAlignment="1">
      <alignment horizontal="center" vertical="center"/>
    </xf>
    <xf numFmtId="166" fontId="0" fillId="0" borderId="0" xfId="0" applyNumberFormat="1" applyAlignment="1">
      <alignment vertical="center" wrapText="1"/>
    </xf>
    <xf numFmtId="168" fontId="0" fillId="0" borderId="0" xfId="0" applyNumberFormat="1" applyAlignment="1">
      <alignment vertical="center" wrapText="1"/>
    </xf>
    <xf numFmtId="166" fontId="1" fillId="0" borderId="0" xfId="0" applyNumberFormat="1" applyFont="1" applyAlignment="1">
      <alignment vertical="center"/>
    </xf>
    <xf numFmtId="169" fontId="0" fillId="0" borderId="1" xfId="0" applyNumberFormat="1" applyBorder="1" applyAlignment="1">
      <alignment vertical="center" wrapText="1"/>
    </xf>
    <xf numFmtId="169" fontId="0" fillId="0" borderId="1" xfId="0" applyNumberFormat="1" applyBorder="1" applyAlignment="1">
      <alignment vertical="center"/>
    </xf>
    <xf numFmtId="167" fontId="0" fillId="2" borderId="1" xfId="0" applyNumberFormat="1" applyFill="1" applyBorder="1" applyAlignment="1">
      <alignment vertical="center"/>
    </xf>
    <xf numFmtId="167" fontId="5" fillId="2" borderId="1" xfId="0" applyNumberFormat="1" applyFont="1" applyFill="1" applyBorder="1" applyAlignment="1">
      <alignment vertical="center"/>
    </xf>
    <xf numFmtId="167" fontId="0" fillId="6" borderId="1" xfId="0" applyNumberFormat="1" applyFill="1" applyBorder="1" applyAlignment="1">
      <alignment vertical="center" wrapText="1"/>
    </xf>
    <xf numFmtId="167" fontId="5" fillId="6" borderId="1" xfId="0" applyNumberFormat="1" applyFont="1" applyFill="1" applyBorder="1" applyAlignment="1">
      <alignment vertical="center"/>
    </xf>
    <xf numFmtId="167" fontId="0" fillId="6" borderId="1" xfId="0" applyNumberFormat="1" applyFill="1" applyBorder="1" applyAlignment="1">
      <alignment vertical="center"/>
    </xf>
    <xf numFmtId="167" fontId="4" fillId="6" borderId="1" xfId="0" applyNumberFormat="1" applyFont="1" applyFill="1" applyBorder="1" applyAlignment="1">
      <alignment vertical="center"/>
    </xf>
    <xf numFmtId="168" fontId="0" fillId="0" borderId="1" xfId="0" applyNumberFormat="1" applyBorder="1" applyAlignment="1">
      <alignment vertical="center"/>
    </xf>
    <xf numFmtId="167" fontId="8" fillId="0" borderId="0" xfId="1" applyFont="1" applyAlignment="1">
      <alignment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center" vertical="center"/>
    </xf>
    <xf numFmtId="170" fontId="0" fillId="0" borderId="1" xfId="0" applyNumberFormat="1" applyBorder="1" applyAlignment="1">
      <alignment horizontal="center" vertical="center"/>
    </xf>
    <xf numFmtId="170" fontId="0" fillId="0" borderId="1" xfId="0" applyNumberFormat="1" applyBorder="1" applyAlignment="1">
      <alignment vertical="center" wrapText="1"/>
    </xf>
    <xf numFmtId="167" fontId="0" fillId="0" borderId="1" xfId="1" applyFont="1" applyBorder="1" applyAlignment="1">
      <alignment vertical="center"/>
    </xf>
    <xf numFmtId="168" fontId="0" fillId="0" borderId="1" xfId="1" applyNumberFormat="1" applyFont="1" applyBorder="1" applyAlignment="1">
      <alignment horizontal="center" vertical="center"/>
    </xf>
    <xf numFmtId="167" fontId="0" fillId="0" borderId="1" xfId="0" applyNumberFormat="1" applyBorder="1" applyAlignment="1">
      <alignment horizontal="center" vertical="center"/>
    </xf>
    <xf numFmtId="0" fontId="6" fillId="6" borderId="4" xfId="0" applyFont="1" applyFill="1" applyBorder="1" applyAlignment="1">
      <alignment horizontal="center" vertical="center"/>
    </xf>
    <xf numFmtId="0" fontId="8" fillId="2" borderId="1" xfId="0" applyFont="1" applyFill="1" applyBorder="1" applyAlignment="1">
      <alignment vertical="center" wrapText="1"/>
    </xf>
    <xf numFmtId="0" fontId="8" fillId="0" borderId="1" xfId="0" applyFont="1" applyBorder="1" applyAlignment="1">
      <alignment vertical="center" wrapText="1"/>
    </xf>
    <xf numFmtId="0" fontId="8" fillId="0" borderId="1" xfId="0" applyFont="1" applyBorder="1" applyAlignment="1" applyProtection="1">
      <alignment horizontal="justify" vertical="center" wrapText="1"/>
      <protection locked="0"/>
    </xf>
    <xf numFmtId="0" fontId="6" fillId="6" borderId="1" xfId="0" applyFont="1" applyFill="1" applyBorder="1" applyAlignment="1">
      <alignment horizontal="center" vertical="center"/>
    </xf>
    <xf numFmtId="164" fontId="0" fillId="0" borderId="1" xfId="1" applyNumberFormat="1" applyFont="1" applyBorder="1" applyAlignment="1">
      <alignment horizontal="center" vertical="center"/>
    </xf>
    <xf numFmtId="167" fontId="0" fillId="0" borderId="1" xfId="1" applyFont="1" applyBorder="1" applyAlignment="1">
      <alignment vertical="center" wrapText="1"/>
    </xf>
    <xf numFmtId="165" fontId="0" fillId="0" borderId="1" xfId="0" applyNumberFormat="1" applyBorder="1" applyAlignment="1">
      <alignment horizontal="right" vertical="center"/>
    </xf>
    <xf numFmtId="0" fontId="8" fillId="0" borderId="1" xfId="0" applyFont="1" applyBorder="1" applyAlignment="1">
      <alignment horizontal="center" vertical="center" wrapText="1"/>
    </xf>
    <xf numFmtId="165" fontId="0" fillId="0" borderId="0" xfId="0" applyNumberFormat="1" applyAlignment="1">
      <alignment vertical="center"/>
    </xf>
    <xf numFmtId="165" fontId="0" fillId="0" borderId="1" xfId="1" applyNumberFormat="1" applyFont="1" applyBorder="1" applyAlignment="1">
      <alignment vertical="center" wrapText="1"/>
    </xf>
    <xf numFmtId="165" fontId="0" fillId="0" borderId="1" xfId="0" applyNumberFormat="1" applyBorder="1" applyAlignment="1">
      <alignment vertical="center"/>
    </xf>
    <xf numFmtId="0" fontId="8" fillId="0" borderId="0" xfId="0" applyFont="1" applyAlignment="1">
      <alignment vertical="center" wrapText="1"/>
    </xf>
    <xf numFmtId="169" fontId="0" fillId="0" borderId="0" xfId="0" applyNumberFormat="1" applyAlignment="1">
      <alignment vertical="center"/>
    </xf>
    <xf numFmtId="0" fontId="0" fillId="2" borderId="1" xfId="0" applyFill="1" applyBorder="1" applyAlignment="1">
      <alignment vertical="center"/>
    </xf>
    <xf numFmtId="167" fontId="0" fillId="2" borderId="1" xfId="0" applyNumberFormat="1" applyFill="1" applyBorder="1" applyAlignment="1">
      <alignment vertical="center" wrapText="1"/>
    </xf>
    <xf numFmtId="167" fontId="4" fillId="2" borderId="1" xfId="0" applyNumberFormat="1" applyFont="1" applyFill="1" applyBorder="1" applyAlignment="1">
      <alignment vertical="center"/>
    </xf>
    <xf numFmtId="0" fontId="0" fillId="8" borderId="1" xfId="0" applyFill="1" applyBorder="1" applyAlignment="1">
      <alignment horizontal="center" vertical="center"/>
    </xf>
    <xf numFmtId="0" fontId="8" fillId="8" borderId="1" xfId="0" applyFont="1" applyFill="1" applyBorder="1" applyAlignment="1">
      <alignment vertical="center" wrapText="1"/>
    </xf>
    <xf numFmtId="0" fontId="0" fillId="8" borderId="1" xfId="0" applyFill="1" applyBorder="1" applyAlignment="1">
      <alignment vertical="center"/>
    </xf>
    <xf numFmtId="0" fontId="0" fillId="8" borderId="1" xfId="0" applyFill="1" applyBorder="1" applyAlignment="1">
      <alignment vertical="center" wrapText="1"/>
    </xf>
    <xf numFmtId="169" fontId="0" fillId="8" borderId="1" xfId="0" applyNumberFormat="1" applyFill="1" applyBorder="1" applyAlignment="1">
      <alignment vertical="center" wrapText="1"/>
    </xf>
    <xf numFmtId="169" fontId="0" fillId="8" borderId="1" xfId="0" applyNumberFormat="1" applyFill="1" applyBorder="1" applyAlignment="1">
      <alignment vertical="center"/>
    </xf>
    <xf numFmtId="167" fontId="0" fillId="8" borderId="1" xfId="1" applyFont="1" applyFill="1" applyBorder="1" applyAlignment="1">
      <alignment vertical="center" wrapText="1"/>
    </xf>
    <xf numFmtId="165" fontId="0" fillId="8" borderId="1" xfId="1" applyNumberFormat="1" applyFont="1" applyFill="1" applyBorder="1" applyAlignment="1">
      <alignment vertical="center" wrapText="1"/>
    </xf>
    <xf numFmtId="165" fontId="0" fillId="8" borderId="1" xfId="0" applyNumberFormat="1" applyFill="1" applyBorder="1" applyAlignment="1">
      <alignment vertical="center"/>
    </xf>
    <xf numFmtId="17" fontId="0" fillId="8" borderId="1" xfId="0" applyNumberFormat="1" applyFill="1" applyBorder="1" applyAlignment="1">
      <alignment horizontal="center" vertical="center"/>
    </xf>
    <xf numFmtId="0" fontId="8" fillId="8" borderId="1" xfId="0" applyFont="1" applyFill="1" applyBorder="1" applyAlignment="1">
      <alignment horizontal="left" vertical="center" wrapText="1"/>
    </xf>
    <xf numFmtId="0" fontId="0" fillId="8" borderId="1" xfId="0" applyFill="1" applyBorder="1" applyAlignment="1">
      <alignment horizontal="left" vertical="center" wrapText="1"/>
    </xf>
    <xf numFmtId="170" fontId="0" fillId="8" borderId="1" xfId="0" applyNumberFormat="1" applyFill="1" applyBorder="1" applyAlignment="1">
      <alignment vertical="center" wrapText="1"/>
    </xf>
    <xf numFmtId="169" fontId="0" fillId="8" borderId="5" xfId="0" applyNumberFormat="1" applyFill="1" applyBorder="1" applyAlignment="1">
      <alignment horizontal="center" vertical="center"/>
    </xf>
    <xf numFmtId="0" fontId="0" fillId="2" borderId="1" xfId="0" applyFill="1" applyBorder="1" applyAlignment="1">
      <alignment vertical="center" wrapText="1"/>
    </xf>
    <xf numFmtId="169" fontId="0" fillId="8" borderId="1" xfId="0" applyNumberFormat="1" applyFill="1" applyBorder="1" applyAlignment="1">
      <alignment horizontal="center" vertical="center"/>
    </xf>
    <xf numFmtId="42" fontId="0" fillId="8" borderId="1" xfId="2" applyFont="1" applyFill="1" applyBorder="1" applyAlignment="1">
      <alignment vertical="center" wrapText="1"/>
    </xf>
    <xf numFmtId="42" fontId="0" fillId="8" borderId="1" xfId="2" applyFont="1" applyFill="1" applyBorder="1" applyAlignment="1">
      <alignment vertical="center"/>
    </xf>
    <xf numFmtId="170" fontId="0" fillId="2" borderId="1" xfId="0" applyNumberFormat="1" applyFill="1" applyBorder="1" applyAlignment="1">
      <alignment vertical="center" wrapText="1"/>
    </xf>
    <xf numFmtId="169" fontId="0" fillId="2" borderId="1" xfId="0" applyNumberFormat="1" applyFill="1" applyBorder="1" applyAlignment="1">
      <alignment vertical="center" wrapText="1"/>
    </xf>
    <xf numFmtId="0" fontId="0" fillId="2" borderId="0" xfId="0" applyFill="1" applyAlignment="1">
      <alignment horizontal="center" vertical="center"/>
    </xf>
    <xf numFmtId="0" fontId="8" fillId="2" borderId="0" xfId="0" applyFont="1" applyFill="1" applyAlignment="1">
      <alignment horizontal="center" vertical="center" wrapText="1"/>
    </xf>
    <xf numFmtId="0" fontId="0" fillId="2" borderId="0" xfId="0" applyFill="1" applyAlignment="1">
      <alignment vertical="center"/>
    </xf>
    <xf numFmtId="170" fontId="0" fillId="2" borderId="0" xfId="0" applyNumberFormat="1" applyFill="1" applyAlignment="1">
      <alignment vertical="center" wrapText="1"/>
    </xf>
    <xf numFmtId="169" fontId="0" fillId="2" borderId="0" xfId="0" applyNumberFormat="1" applyFill="1" applyAlignment="1">
      <alignment horizontal="center" vertical="center" wrapText="1"/>
    </xf>
    <xf numFmtId="169" fontId="0" fillId="2" borderId="0" xfId="0" applyNumberFormat="1" applyFill="1" applyAlignment="1">
      <alignment horizontal="center" vertical="center"/>
    </xf>
    <xf numFmtId="0" fontId="0" fillId="9" borderId="1" xfId="0" applyFill="1" applyBorder="1" applyAlignment="1">
      <alignment vertical="center"/>
    </xf>
    <xf numFmtId="0" fontId="8" fillId="9" borderId="1" xfId="0" applyFont="1" applyFill="1" applyBorder="1" applyAlignment="1">
      <alignment vertical="center" wrapText="1"/>
    </xf>
    <xf numFmtId="169" fontId="0" fillId="9" borderId="1" xfId="0" applyNumberFormat="1" applyFill="1" applyBorder="1" applyAlignment="1">
      <alignment vertical="center" wrapText="1"/>
    </xf>
    <xf numFmtId="170" fontId="0" fillId="9" borderId="1" xfId="0" applyNumberFormat="1" applyFill="1" applyBorder="1" applyAlignment="1">
      <alignment vertical="center" wrapText="1"/>
    </xf>
    <xf numFmtId="169" fontId="0" fillId="9" borderId="1" xfId="0" applyNumberFormat="1" applyFill="1" applyBorder="1" applyAlignment="1">
      <alignment vertical="center"/>
    </xf>
    <xf numFmtId="0" fontId="0" fillId="9" borderId="1" xfId="0" applyFill="1" applyBorder="1" applyAlignment="1">
      <alignment horizontal="center" vertical="center"/>
    </xf>
    <xf numFmtId="0" fontId="0" fillId="9" borderId="1" xfId="0" applyFill="1" applyBorder="1" applyAlignment="1">
      <alignment vertical="center" wrapText="1"/>
    </xf>
    <xf numFmtId="0" fontId="0" fillId="0" borderId="2" xfId="0" applyBorder="1"/>
    <xf numFmtId="169" fontId="0" fillId="9" borderId="1" xfId="0" applyNumberFormat="1" applyFill="1" applyBorder="1" applyAlignment="1">
      <alignment horizontal="center" vertical="center" wrapText="1"/>
    </xf>
    <xf numFmtId="0" fontId="8" fillId="9" borderId="1" xfId="0" applyFont="1" applyFill="1" applyBorder="1" applyAlignment="1" applyProtection="1">
      <alignment horizontal="justify" vertical="center" wrapText="1"/>
      <protection locked="0"/>
    </xf>
    <xf numFmtId="42" fontId="12" fillId="9" borderId="5" xfId="2" applyFont="1" applyFill="1" applyBorder="1" applyAlignment="1">
      <alignment horizontal="center" vertical="center"/>
    </xf>
    <xf numFmtId="42" fontId="5" fillId="9" borderId="5" xfId="2" applyFont="1" applyFill="1" applyBorder="1" applyAlignment="1">
      <alignment horizontal="center" vertical="center" wrapText="1"/>
    </xf>
    <xf numFmtId="0" fontId="6" fillId="6" borderId="1" xfId="0" applyFont="1" applyFill="1" applyBorder="1" applyAlignment="1">
      <alignment horizontal="center" vertical="center" wrapText="1"/>
    </xf>
    <xf numFmtId="0" fontId="0" fillId="10" borderId="1" xfId="0" applyFill="1" applyBorder="1" applyAlignment="1">
      <alignment horizontal="center" vertical="center" wrapText="1"/>
    </xf>
    <xf numFmtId="0" fontId="0" fillId="10" borderId="1" xfId="0" applyFill="1" applyBorder="1" applyAlignment="1" applyProtection="1">
      <alignment horizontal="justify" vertical="center" wrapText="1"/>
      <protection locked="0"/>
    </xf>
    <xf numFmtId="0" fontId="8" fillId="10" borderId="1" xfId="0" applyFont="1" applyFill="1" applyBorder="1" applyAlignment="1" applyProtection="1">
      <alignment horizontal="justify" vertical="center" wrapText="1"/>
      <protection locked="0"/>
    </xf>
    <xf numFmtId="0" fontId="2" fillId="10" borderId="1" xfId="0" applyFont="1" applyFill="1" applyBorder="1" applyAlignment="1">
      <alignment vertical="center" wrapText="1"/>
    </xf>
    <xf numFmtId="168" fontId="0" fillId="10" borderId="1" xfId="1" applyNumberFormat="1" applyFont="1" applyFill="1" applyBorder="1" applyAlignment="1">
      <alignment vertical="center" wrapText="1"/>
    </xf>
    <xf numFmtId="168" fontId="0" fillId="10" borderId="1" xfId="0" applyNumberFormat="1" applyFill="1" applyBorder="1" applyAlignment="1">
      <alignment vertical="center"/>
    </xf>
    <xf numFmtId="0" fontId="0" fillId="10" borderId="1" xfId="0" applyFill="1" applyBorder="1" applyAlignment="1">
      <alignment vertical="center" wrapText="1"/>
    </xf>
    <xf numFmtId="0" fontId="0" fillId="10" borderId="1" xfId="0" applyFill="1" applyBorder="1" applyAlignment="1" applyProtection="1">
      <alignment horizontal="center" vertical="center" wrapText="1"/>
      <protection locked="0"/>
    </xf>
    <xf numFmtId="0" fontId="0" fillId="10" borderId="0" xfId="0" applyFill="1" applyAlignment="1">
      <alignment vertical="center" wrapText="1"/>
    </xf>
    <xf numFmtId="0" fontId="2" fillId="10" borderId="1" xfId="0" applyFont="1" applyFill="1" applyBorder="1" applyAlignment="1">
      <alignment horizontal="center" vertical="center" wrapText="1"/>
    </xf>
    <xf numFmtId="0" fontId="0" fillId="10" borderId="1" xfId="0" applyFill="1" applyBorder="1" applyAlignment="1">
      <alignment horizontal="center" vertical="center"/>
    </xf>
    <xf numFmtId="0" fontId="8" fillId="10" borderId="1" xfId="0" applyFont="1" applyFill="1" applyBorder="1" applyAlignment="1">
      <alignment vertical="center" wrapText="1"/>
    </xf>
    <xf numFmtId="167" fontId="0" fillId="10" borderId="1" xfId="0" applyNumberFormat="1" applyFill="1" applyBorder="1" applyAlignment="1">
      <alignment vertical="center" wrapText="1"/>
    </xf>
    <xf numFmtId="167" fontId="5" fillId="10" borderId="1" xfId="0" applyNumberFormat="1" applyFont="1" applyFill="1" applyBorder="1" applyAlignment="1">
      <alignment vertical="center"/>
    </xf>
    <xf numFmtId="167" fontId="0" fillId="10" borderId="1" xfId="0" applyNumberFormat="1" applyFill="1" applyBorder="1" applyAlignment="1">
      <alignment vertical="center"/>
    </xf>
    <xf numFmtId="167" fontId="4" fillId="10" borderId="1" xfId="0" applyNumberFormat="1" applyFont="1" applyFill="1" applyBorder="1" applyAlignment="1">
      <alignment vertical="center"/>
    </xf>
    <xf numFmtId="42" fontId="0" fillId="0" borderId="1" xfId="2" applyFont="1" applyBorder="1" applyAlignment="1">
      <alignment vertical="center"/>
    </xf>
    <xf numFmtId="42" fontId="12" fillId="9" borderId="1" xfId="2" applyFont="1" applyFill="1" applyBorder="1" applyAlignment="1">
      <alignment horizontal="center" vertical="center"/>
    </xf>
    <xf numFmtId="0" fontId="1" fillId="3" borderId="5" xfId="0" applyFont="1" applyFill="1" applyBorder="1" applyAlignment="1">
      <alignment horizontal="center" vertical="center" wrapText="1"/>
    </xf>
    <xf numFmtId="170" fontId="1" fillId="0" borderId="0" xfId="0" applyNumberFormat="1" applyFont="1" applyAlignment="1">
      <alignment vertical="center" wrapText="1"/>
    </xf>
    <xf numFmtId="167" fontId="0" fillId="0" borderId="0" xfId="0" applyNumberFormat="1" applyAlignment="1">
      <alignment vertical="center" wrapText="1"/>
    </xf>
    <xf numFmtId="42" fontId="0" fillId="0" borderId="0" xfId="2" applyFont="1" applyAlignment="1">
      <alignment vertical="center"/>
    </xf>
    <xf numFmtId="168" fontId="0" fillId="0" borderId="0" xfId="0" applyNumberFormat="1"/>
    <xf numFmtId="0" fontId="0" fillId="9" borderId="1" xfId="0" applyFill="1" applyBorder="1" applyAlignment="1">
      <alignment horizontal="center" vertical="center" wrapText="1"/>
    </xf>
    <xf numFmtId="0" fontId="0" fillId="9" borderId="2" xfId="0" applyFill="1" applyBorder="1"/>
    <xf numFmtId="0" fontId="0" fillId="2" borderId="0" xfId="0" applyFill="1"/>
    <xf numFmtId="0" fontId="0" fillId="11" borderId="1" xfId="0" applyFill="1" applyBorder="1" applyAlignment="1">
      <alignment horizontal="center" vertical="center"/>
    </xf>
    <xf numFmtId="0" fontId="8" fillId="11" borderId="1" xfId="0" applyFont="1" applyFill="1" applyBorder="1" applyAlignment="1">
      <alignment vertical="center" wrapText="1"/>
    </xf>
    <xf numFmtId="0" fontId="0" fillId="11" borderId="1" xfId="0" applyFill="1" applyBorder="1" applyAlignment="1">
      <alignment vertical="center" wrapText="1"/>
    </xf>
    <xf numFmtId="42" fontId="12" fillId="11" borderId="1" xfId="2" applyFont="1" applyFill="1" applyBorder="1" applyAlignment="1">
      <alignment horizontal="center" vertical="center"/>
    </xf>
    <xf numFmtId="0" fontId="0" fillId="2" borderId="0" xfId="0" applyFill="1" applyAlignment="1">
      <alignment vertical="center" wrapText="1"/>
    </xf>
    <xf numFmtId="168" fontId="0" fillId="2" borderId="0" xfId="0" applyNumberFormat="1" applyFill="1"/>
    <xf numFmtId="0" fontId="7" fillId="2" borderId="0" xfId="0" applyFont="1" applyFill="1" applyAlignment="1">
      <alignment horizontal="center" vertical="center"/>
    </xf>
    <xf numFmtId="0" fontId="14"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169" fontId="0" fillId="12" borderId="1" xfId="0" applyNumberFormat="1" applyFill="1" applyBorder="1" applyAlignment="1">
      <alignment vertical="center" wrapText="1"/>
    </xf>
    <xf numFmtId="170" fontId="0" fillId="12" borderId="1" xfId="0" applyNumberFormat="1" applyFill="1" applyBorder="1" applyAlignment="1">
      <alignment vertical="center" wrapText="1"/>
    </xf>
    <xf numFmtId="169" fontId="0" fillId="11" borderId="4" xfId="0" applyNumberFormat="1" applyFill="1" applyBorder="1" applyAlignment="1">
      <alignment vertical="center" wrapText="1"/>
    </xf>
    <xf numFmtId="170" fontId="0" fillId="11" borderId="4" xfId="0" applyNumberFormat="1" applyFill="1" applyBorder="1" applyAlignment="1">
      <alignment vertical="center" wrapText="1"/>
    </xf>
    <xf numFmtId="0" fontId="0" fillId="11" borderId="4" xfId="0" applyFill="1" applyBorder="1" applyAlignment="1">
      <alignment horizontal="center" vertical="center"/>
    </xf>
    <xf numFmtId="0" fontId="8" fillId="11" borderId="4" xfId="0" applyFont="1" applyFill="1" applyBorder="1" applyAlignment="1">
      <alignment vertical="center" wrapText="1"/>
    </xf>
    <xf numFmtId="0" fontId="0" fillId="11" borderId="4" xfId="0" applyFill="1" applyBorder="1" applyAlignment="1">
      <alignment vertical="center" wrapText="1"/>
    </xf>
    <xf numFmtId="170" fontId="0" fillId="12" borderId="4" xfId="0" applyNumberFormat="1" applyFill="1" applyBorder="1" applyAlignment="1">
      <alignment vertical="center" wrapText="1"/>
    </xf>
    <xf numFmtId="169" fontId="0" fillId="12" borderId="4" xfId="0" applyNumberFormat="1" applyFill="1" applyBorder="1" applyAlignment="1">
      <alignment vertical="center" wrapText="1"/>
    </xf>
    <xf numFmtId="42" fontId="12" fillId="11" borderId="4" xfId="2" applyFont="1" applyFill="1" applyBorder="1" applyAlignment="1">
      <alignment horizontal="center" vertical="center"/>
    </xf>
    <xf numFmtId="0" fontId="13" fillId="9" borderId="1" xfId="0" applyFont="1" applyFill="1" applyBorder="1" applyAlignment="1">
      <alignment vertical="center" wrapText="1"/>
    </xf>
    <xf numFmtId="0" fontId="0" fillId="2" borderId="1" xfId="0" applyFill="1" applyBorder="1"/>
    <xf numFmtId="170" fontId="0" fillId="2" borderId="1" xfId="0" applyNumberFormat="1" applyFill="1" applyBorder="1"/>
    <xf numFmtId="0" fontId="14" fillId="2" borderId="2" xfId="0" applyFont="1" applyFill="1" applyBorder="1" applyAlignment="1">
      <alignment horizontal="center" vertical="center"/>
    </xf>
    <xf numFmtId="170" fontId="1" fillId="2" borderId="1" xfId="0" applyNumberFormat="1" applyFont="1" applyFill="1" applyBorder="1" applyAlignment="1">
      <alignment vertical="center" wrapText="1"/>
    </xf>
    <xf numFmtId="42" fontId="0" fillId="2" borderId="1" xfId="2" applyFont="1" applyFill="1" applyBorder="1" applyAlignment="1">
      <alignment vertical="center" wrapText="1"/>
    </xf>
    <xf numFmtId="169" fontId="1" fillId="9" borderId="1" xfId="0" applyNumberFormat="1" applyFont="1" applyFill="1" applyBorder="1" applyAlignment="1">
      <alignment vertical="center"/>
    </xf>
    <xf numFmtId="168" fontId="1" fillId="10" borderId="1" xfId="0" applyNumberFormat="1" applyFont="1" applyFill="1" applyBorder="1" applyAlignment="1">
      <alignment horizontal="center" vertical="center"/>
    </xf>
    <xf numFmtId="169" fontId="0" fillId="8" borderId="1" xfId="0" applyNumberFormat="1" applyFill="1" applyBorder="1" applyAlignment="1">
      <alignment horizontal="center" vertical="center" wrapText="1"/>
    </xf>
    <xf numFmtId="0" fontId="0" fillId="8" borderId="1" xfId="0" applyFill="1" applyBorder="1" applyAlignment="1">
      <alignment horizontal="center" vertical="center" wrapText="1"/>
    </xf>
    <xf numFmtId="170" fontId="1" fillId="8" borderId="1" xfId="0" applyNumberFormat="1" applyFont="1" applyFill="1" applyBorder="1" applyAlignment="1">
      <alignment vertical="center" wrapText="1"/>
    </xf>
    <xf numFmtId="0" fontId="13" fillId="8" borderId="5" xfId="0" applyFont="1" applyFill="1" applyBorder="1" applyAlignment="1">
      <alignment vertical="center" wrapText="1"/>
    </xf>
    <xf numFmtId="170" fontId="1" fillId="8" borderId="1" xfId="0" applyNumberFormat="1" applyFont="1" applyFill="1" applyBorder="1" applyAlignment="1">
      <alignment vertical="center"/>
    </xf>
    <xf numFmtId="3" fontId="0" fillId="8" borderId="1" xfId="0" applyNumberFormat="1" applyFill="1" applyBorder="1" applyAlignment="1">
      <alignment horizontal="center" vertical="center" wrapText="1"/>
    </xf>
    <xf numFmtId="42" fontId="0" fillId="0" borderId="1" xfId="0" applyNumberFormat="1" applyBorder="1" applyAlignment="1">
      <alignment vertical="center" wrapText="1"/>
    </xf>
    <xf numFmtId="0" fontId="0" fillId="5" borderId="1" xfId="0" applyFill="1" applyBorder="1" applyAlignment="1">
      <alignment horizontal="center" vertical="center" wrapText="1"/>
    </xf>
    <xf numFmtId="42" fontId="0" fillId="2" borderId="1" xfId="0" applyNumberFormat="1" applyFill="1" applyBorder="1" applyAlignment="1">
      <alignment vertical="center" wrapText="1"/>
    </xf>
    <xf numFmtId="170" fontId="0" fillId="2" borderId="1" xfId="0" applyNumberFormat="1" applyFill="1" applyBorder="1" applyAlignment="1">
      <alignment horizontal="center" vertical="center"/>
    </xf>
    <xf numFmtId="168" fontId="0" fillId="2" borderId="1" xfId="1" applyNumberFormat="1" applyFont="1" applyFill="1" applyBorder="1" applyAlignment="1">
      <alignment horizontal="center" vertical="center"/>
    </xf>
    <xf numFmtId="42" fontId="0" fillId="2" borderId="1" xfId="2" applyFont="1" applyFill="1" applyBorder="1" applyAlignment="1">
      <alignment vertical="center"/>
    </xf>
    <xf numFmtId="171" fontId="0" fillId="2" borderId="1" xfId="0" applyNumberFormat="1" applyFill="1" applyBorder="1" applyAlignment="1">
      <alignment vertical="center"/>
    </xf>
    <xf numFmtId="170" fontId="1" fillId="9" borderId="1" xfId="0" applyNumberFormat="1" applyFont="1" applyFill="1" applyBorder="1" applyAlignment="1">
      <alignment vertical="center" wrapText="1"/>
    </xf>
    <xf numFmtId="0" fontId="0" fillId="9" borderId="1" xfId="0" applyFill="1" applyBorder="1"/>
    <xf numFmtId="42" fontId="12" fillId="0" borderId="1" xfId="2" applyFont="1" applyBorder="1" applyAlignment="1">
      <alignment horizontal="center" vertical="center"/>
    </xf>
    <xf numFmtId="169" fontId="1" fillId="0" borderId="18" xfId="0" applyNumberFormat="1" applyFont="1" applyBorder="1" applyAlignment="1">
      <alignment horizontal="center" vertical="center"/>
    </xf>
    <xf numFmtId="169" fontId="1" fillId="0" borderId="18" xfId="0" applyNumberFormat="1" applyFont="1" applyBorder="1" applyAlignment="1">
      <alignment vertical="center"/>
    </xf>
    <xf numFmtId="0" fontId="0" fillId="0" borderId="15" xfId="0" applyBorder="1" applyAlignment="1">
      <alignment horizontal="center" vertical="center"/>
    </xf>
    <xf numFmtId="42" fontId="17" fillId="0" borderId="1" xfId="2" applyFont="1" applyBorder="1" applyAlignment="1">
      <alignment horizontal="center" vertical="center"/>
    </xf>
    <xf numFmtId="42" fontId="14" fillId="0" borderId="18" xfId="0" applyNumberFormat="1" applyFont="1" applyBorder="1" applyAlignment="1">
      <alignment vertical="center"/>
    </xf>
    <xf numFmtId="169" fontId="0" fillId="0" borderId="1" xfId="0" applyNumberFormat="1" applyBorder="1" applyAlignment="1">
      <alignment horizontal="center" vertical="center" wrapText="1"/>
    </xf>
    <xf numFmtId="169" fontId="14" fillId="0" borderId="18" xfId="0" applyNumberFormat="1" applyFont="1" applyBorder="1" applyAlignment="1">
      <alignment vertical="center"/>
    </xf>
    <xf numFmtId="17" fontId="0" fillId="0" borderId="15" xfId="0" applyNumberFormat="1" applyBorder="1" applyAlignment="1">
      <alignment horizontal="center" vertical="center"/>
    </xf>
    <xf numFmtId="17" fontId="0" fillId="0" borderId="15" xfId="0" applyNumberFormat="1" applyBorder="1" applyAlignment="1">
      <alignment vertical="center"/>
    </xf>
    <xf numFmtId="0" fontId="5" fillId="0" borderId="1" xfId="0" applyFont="1" applyBorder="1" applyAlignment="1">
      <alignment horizontal="center" vertical="center"/>
    </xf>
    <xf numFmtId="0" fontId="12" fillId="0" borderId="1" xfId="0" applyFont="1" applyBorder="1" applyAlignment="1">
      <alignment vertical="center" wrapText="1"/>
    </xf>
    <xf numFmtId="0" fontId="12" fillId="0" borderId="1" xfId="0" applyFont="1" applyBorder="1" applyAlignment="1">
      <alignment horizontal="justify" vertical="center" wrapText="1"/>
    </xf>
    <xf numFmtId="169" fontId="5" fillId="0" borderId="1" xfId="0" applyNumberFormat="1" applyFont="1" applyBorder="1" applyAlignment="1">
      <alignment vertical="center" wrapText="1"/>
    </xf>
    <xf numFmtId="170" fontId="5" fillId="0" borderId="1" xfId="0" applyNumberFormat="1" applyFont="1" applyBorder="1" applyAlignment="1">
      <alignment vertical="center" wrapText="1"/>
    </xf>
    <xf numFmtId="170" fontId="5" fillId="0" borderId="4" xfId="0" applyNumberFormat="1" applyFont="1" applyBorder="1" applyAlignment="1">
      <alignment vertical="center" wrapText="1"/>
    </xf>
    <xf numFmtId="0" fontId="5" fillId="0" borderId="1" xfId="0" applyFont="1" applyBorder="1" applyAlignment="1">
      <alignment vertical="center" wrapText="1"/>
    </xf>
    <xf numFmtId="0" fontId="5" fillId="0" borderId="1" xfId="0" applyFont="1" applyBorder="1"/>
    <xf numFmtId="0" fontId="0" fillId="13" borderId="1" xfId="0" applyFill="1" applyBorder="1" applyAlignment="1">
      <alignment horizontal="center" vertical="center"/>
    </xf>
    <xf numFmtId="0" fontId="8" fillId="13" borderId="1" xfId="0" applyFont="1" applyFill="1" applyBorder="1" applyAlignment="1">
      <alignment vertical="center" wrapText="1"/>
    </xf>
    <xf numFmtId="0" fontId="8" fillId="13" borderId="1" xfId="0" applyFont="1" applyFill="1" applyBorder="1" applyAlignment="1">
      <alignment horizontal="justify" vertical="center" wrapText="1"/>
    </xf>
    <xf numFmtId="170" fontId="0" fillId="13" borderId="1" xfId="0" applyNumberFormat="1" applyFill="1" applyBorder="1" applyAlignment="1">
      <alignment vertical="center" wrapText="1"/>
    </xf>
    <xf numFmtId="169" fontId="0" fillId="13" borderId="1" xfId="0" applyNumberFormat="1" applyFill="1" applyBorder="1" applyAlignment="1">
      <alignment vertical="center" wrapText="1"/>
    </xf>
    <xf numFmtId="42" fontId="12" fillId="13" borderId="1" xfId="2" applyFont="1" applyFill="1" applyBorder="1" applyAlignment="1">
      <alignment horizontal="center" vertical="center"/>
    </xf>
    <xf numFmtId="0" fontId="0" fillId="13" borderId="1" xfId="0" applyFill="1" applyBorder="1" applyAlignment="1">
      <alignment vertical="center"/>
    </xf>
    <xf numFmtId="0" fontId="0" fillId="13" borderId="1" xfId="0" applyFill="1" applyBorder="1" applyAlignment="1">
      <alignment vertical="center" wrapText="1"/>
    </xf>
    <xf numFmtId="0" fontId="0" fillId="13" borderId="1" xfId="0" applyFill="1" applyBorder="1" applyAlignment="1">
      <alignment horizontal="center" vertical="center" wrapText="1"/>
    </xf>
    <xf numFmtId="0" fontId="16" fillId="13" borderId="1" xfId="0" applyFont="1" applyFill="1" applyBorder="1" applyAlignment="1">
      <alignment horizontal="justify" vertical="center" wrapText="1"/>
    </xf>
    <xf numFmtId="0" fontId="17" fillId="13" borderId="1" xfId="0" applyFont="1" applyFill="1" applyBorder="1" applyAlignment="1">
      <alignment horizontal="center" vertical="center" wrapText="1"/>
    </xf>
    <xf numFmtId="0" fontId="16" fillId="13" borderId="1" xfId="0" applyFont="1" applyFill="1" applyBorder="1" applyAlignment="1">
      <alignment horizontal="justify" vertical="center"/>
    </xf>
    <xf numFmtId="42" fontId="0" fillId="13" borderId="0" xfId="0" applyNumberFormat="1" applyFill="1" applyAlignment="1">
      <alignment vertical="center" wrapText="1"/>
    </xf>
    <xf numFmtId="44" fontId="0" fillId="0" borderId="0" xfId="0" applyNumberFormat="1"/>
    <xf numFmtId="42" fontId="0" fillId="0" borderId="0" xfId="0" applyNumberFormat="1"/>
    <xf numFmtId="44" fontId="0" fillId="14" borderId="0" xfId="0" applyNumberFormat="1" applyFill="1"/>
    <xf numFmtId="0" fontId="16" fillId="14" borderId="1" xfId="0" applyFont="1" applyFill="1" applyBorder="1" applyAlignment="1">
      <alignment horizontal="justify" vertical="center"/>
    </xf>
    <xf numFmtId="0" fontId="0" fillId="14" borderId="15" xfId="0" applyFill="1" applyBorder="1" applyAlignment="1">
      <alignment horizontal="center" vertical="center"/>
    </xf>
    <xf numFmtId="0" fontId="16" fillId="14" borderId="1" xfId="0" applyFont="1" applyFill="1" applyBorder="1" applyAlignment="1">
      <alignment horizontal="justify" vertical="center" wrapText="1"/>
    </xf>
    <xf numFmtId="0" fontId="8" fillId="14" borderId="1" xfId="0" applyFont="1" applyFill="1" applyBorder="1" applyAlignment="1">
      <alignment horizontal="justify" vertical="center" wrapText="1"/>
    </xf>
    <xf numFmtId="0" fontId="17" fillId="14" borderId="1" xfId="0" applyFont="1" applyFill="1" applyBorder="1" applyAlignment="1">
      <alignment horizontal="center" vertical="center" wrapText="1"/>
    </xf>
    <xf numFmtId="0" fontId="0" fillId="14" borderId="1" xfId="0" applyFill="1" applyBorder="1" applyAlignment="1">
      <alignment vertical="center"/>
    </xf>
    <xf numFmtId="0" fontId="0" fillId="14" borderId="1" xfId="0" applyFill="1" applyBorder="1" applyAlignment="1">
      <alignment vertical="center" wrapText="1"/>
    </xf>
    <xf numFmtId="42" fontId="17" fillId="14" borderId="1" xfId="2" applyFont="1" applyFill="1" applyBorder="1" applyAlignment="1">
      <alignment horizontal="center" vertical="center"/>
    </xf>
    <xf numFmtId="42" fontId="14" fillId="14" borderId="18" xfId="0" applyNumberFormat="1" applyFont="1" applyFill="1" applyBorder="1" applyAlignment="1">
      <alignment vertical="center"/>
    </xf>
    <xf numFmtId="0" fontId="0" fillId="14" borderId="0" xfId="0" applyFill="1"/>
    <xf numFmtId="175" fontId="0" fillId="0" borderId="0" xfId="0" applyNumberFormat="1"/>
    <xf numFmtId="0" fontId="0" fillId="9" borderId="1" xfId="0" applyFill="1" applyBorder="1" applyAlignment="1">
      <alignment horizontal="center" vertical="center"/>
    </xf>
    <xf numFmtId="0" fontId="0" fillId="10" borderId="1" xfId="0" applyFill="1" applyBorder="1" applyAlignment="1">
      <alignment horizontal="center" vertical="center"/>
    </xf>
    <xf numFmtId="0" fontId="8" fillId="10" borderId="1" xfId="0" applyFont="1" applyFill="1" applyBorder="1" applyAlignment="1">
      <alignment horizontal="center" vertical="center" wrapText="1"/>
    </xf>
    <xf numFmtId="0" fontId="0" fillId="2" borderId="4" xfId="0" applyFill="1" applyBorder="1" applyAlignment="1">
      <alignment horizontal="center" vertical="center"/>
    </xf>
    <xf numFmtId="0" fontId="0" fillId="2" borderId="8" xfId="0" applyFill="1" applyBorder="1" applyAlignment="1">
      <alignment horizontal="center" vertical="center"/>
    </xf>
    <xf numFmtId="0" fontId="0" fillId="2" borderId="5" xfId="0" applyFill="1" applyBorder="1" applyAlignment="1">
      <alignment horizontal="center" vertical="center"/>
    </xf>
    <xf numFmtId="0" fontId="1" fillId="5" borderId="10" xfId="0" applyFont="1" applyFill="1" applyBorder="1" applyAlignment="1">
      <alignment horizontal="center" vertical="center"/>
    </xf>
    <xf numFmtId="0" fontId="1" fillId="5" borderId="3" xfId="0" applyFont="1" applyFill="1" applyBorder="1" applyAlignment="1">
      <alignment horizontal="center" vertical="center"/>
    </xf>
    <xf numFmtId="0" fontId="7" fillId="2" borderId="3" xfId="0" applyFont="1" applyFill="1" applyBorder="1" applyAlignment="1">
      <alignment horizontal="center" vertical="center"/>
    </xf>
    <xf numFmtId="0" fontId="1" fillId="6" borderId="6" xfId="0" applyFont="1" applyFill="1" applyBorder="1" applyAlignment="1">
      <alignment horizontal="center" vertical="center"/>
    </xf>
    <xf numFmtId="0" fontId="1" fillId="6" borderId="7" xfId="0" applyFont="1" applyFill="1" applyBorder="1" applyAlignment="1">
      <alignment horizontal="center" vertical="center"/>
    </xf>
    <xf numFmtId="0" fontId="1" fillId="6" borderId="2" xfId="0" applyFont="1" applyFill="1" applyBorder="1" applyAlignment="1">
      <alignment horizontal="center" vertical="center"/>
    </xf>
    <xf numFmtId="0" fontId="0" fillId="10" borderId="4" xfId="0" applyFill="1" applyBorder="1" applyAlignment="1">
      <alignment horizontal="center" vertical="center" wrapText="1"/>
    </xf>
    <xf numFmtId="0" fontId="0" fillId="10" borderId="5" xfId="0" applyFill="1" applyBorder="1" applyAlignment="1">
      <alignment horizontal="center" vertical="center" wrapText="1"/>
    </xf>
    <xf numFmtId="167" fontId="5" fillId="10" borderId="4" xfId="0" applyNumberFormat="1" applyFont="1" applyFill="1" applyBorder="1" applyAlignment="1">
      <alignment horizontal="center" vertical="center"/>
    </xf>
    <xf numFmtId="167" fontId="5" fillId="10" borderId="5" xfId="0" applyNumberFormat="1" applyFont="1" applyFill="1" applyBorder="1" applyAlignment="1">
      <alignment horizontal="center" vertical="center"/>
    </xf>
    <xf numFmtId="0" fontId="0" fillId="0" borderId="1" xfId="0" applyBorder="1" applyAlignment="1">
      <alignment horizontal="center" vertical="center" wrapText="1"/>
    </xf>
    <xf numFmtId="169" fontId="0" fillId="2" borderId="4" xfId="0" applyNumberFormat="1" applyFill="1" applyBorder="1" applyAlignment="1">
      <alignment horizontal="center" vertical="center"/>
    </xf>
    <xf numFmtId="169" fontId="0" fillId="2" borderId="5" xfId="0" applyNumberFormat="1" applyFill="1" applyBorder="1" applyAlignment="1">
      <alignment horizontal="center" vertical="center"/>
    </xf>
    <xf numFmtId="169" fontId="0" fillId="9" borderId="1" xfId="0" applyNumberFormat="1" applyFill="1" applyBorder="1" applyAlignment="1">
      <alignment horizontal="center" vertical="center"/>
    </xf>
    <xf numFmtId="167" fontId="0" fillId="10" borderId="4" xfId="0" applyNumberFormat="1" applyFill="1" applyBorder="1" applyAlignment="1">
      <alignment horizontal="center" vertical="center"/>
    </xf>
    <xf numFmtId="167" fontId="0" fillId="10" borderId="5" xfId="0" applyNumberFormat="1" applyFill="1" applyBorder="1" applyAlignment="1">
      <alignment horizontal="center" vertical="center"/>
    </xf>
    <xf numFmtId="169" fontId="0" fillId="2" borderId="8" xfId="0" applyNumberFormat="1" applyFill="1" applyBorder="1" applyAlignment="1">
      <alignment horizontal="center" vertical="center"/>
    </xf>
    <xf numFmtId="169" fontId="0" fillId="9" borderId="1" xfId="0" applyNumberFormat="1" applyFill="1" applyBorder="1" applyAlignment="1">
      <alignment horizontal="center" vertical="center" wrapText="1"/>
    </xf>
    <xf numFmtId="0" fontId="8" fillId="9" borderId="4" xfId="0" applyFont="1" applyFill="1" applyBorder="1" applyAlignment="1" applyProtection="1">
      <alignment horizontal="justify" vertical="center" wrapText="1"/>
      <protection locked="0"/>
    </xf>
    <xf numFmtId="0" fontId="8" fillId="9" borderId="5" xfId="0" applyFont="1" applyFill="1" applyBorder="1" applyAlignment="1" applyProtection="1">
      <alignment horizontal="justify" vertical="center" wrapText="1"/>
      <protection locked="0"/>
    </xf>
    <xf numFmtId="0" fontId="8" fillId="2" borderId="4"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5" xfId="0" applyFont="1" applyFill="1" applyBorder="1" applyAlignment="1">
      <alignment horizontal="left" vertical="center" wrapText="1"/>
    </xf>
    <xf numFmtId="0" fontId="1" fillId="3" borderId="1" xfId="0" applyFont="1" applyFill="1" applyBorder="1" applyAlignment="1">
      <alignment horizontal="center" vertical="center"/>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0" fillId="9" borderId="1" xfId="0" applyFill="1" applyBorder="1" applyAlignment="1">
      <alignment horizontal="center" vertical="center" wrapText="1"/>
    </xf>
    <xf numFmtId="0" fontId="0" fillId="9" borderId="4" xfId="0" applyFill="1" applyBorder="1" applyAlignment="1">
      <alignment horizontal="center" vertical="center" wrapText="1"/>
    </xf>
    <xf numFmtId="0" fontId="0" fillId="9" borderId="5" xfId="0" applyFill="1" applyBorder="1" applyAlignment="1">
      <alignment horizontal="center" vertical="center" wrapText="1"/>
    </xf>
    <xf numFmtId="0" fontId="0" fillId="9" borderId="4" xfId="0" applyFill="1" applyBorder="1" applyAlignment="1">
      <alignment horizontal="center" vertical="center"/>
    </xf>
    <xf numFmtId="0" fontId="0" fillId="9" borderId="5" xfId="0" applyFill="1" applyBorder="1" applyAlignment="1">
      <alignment horizontal="center" vertical="center"/>
    </xf>
    <xf numFmtId="0" fontId="0" fillId="9" borderId="8" xfId="0" applyFill="1" applyBorder="1" applyAlignment="1">
      <alignment horizontal="center" vertical="center"/>
    </xf>
    <xf numFmtId="0" fontId="8" fillId="9" borderId="4" xfId="0" applyFont="1" applyFill="1" applyBorder="1" applyAlignment="1">
      <alignment horizontal="left" vertical="center" wrapText="1"/>
    </xf>
    <xf numFmtId="0" fontId="8" fillId="9" borderId="8" xfId="0" applyFont="1" applyFill="1" applyBorder="1" applyAlignment="1">
      <alignment horizontal="left" vertical="center" wrapText="1"/>
    </xf>
    <xf numFmtId="0" fontId="8" fillId="9" borderId="5" xfId="0" applyFont="1" applyFill="1" applyBorder="1" applyAlignment="1">
      <alignment horizontal="left" vertical="center" wrapText="1"/>
    </xf>
    <xf numFmtId="0" fontId="0" fillId="9" borderId="8" xfId="0" applyFill="1" applyBorder="1" applyAlignment="1">
      <alignment horizontal="center" vertical="center" wrapText="1"/>
    </xf>
    <xf numFmtId="169" fontId="1" fillId="9" borderId="4" xfId="0" applyNumberFormat="1" applyFont="1" applyFill="1" applyBorder="1" applyAlignment="1">
      <alignment horizontal="center" vertical="center"/>
    </xf>
    <xf numFmtId="169" fontId="1" fillId="9" borderId="8" xfId="0" applyNumberFormat="1" applyFont="1" applyFill="1" applyBorder="1" applyAlignment="1">
      <alignment horizontal="center" vertical="center"/>
    </xf>
    <xf numFmtId="169" fontId="1" fillId="9" borderId="5" xfId="0" applyNumberFormat="1" applyFont="1" applyFill="1" applyBorder="1" applyAlignment="1">
      <alignment horizontal="center" vertical="center"/>
    </xf>
    <xf numFmtId="0" fontId="7" fillId="2" borderId="1" xfId="0" applyFont="1" applyFill="1" applyBorder="1" applyAlignment="1">
      <alignment horizontal="center" vertical="center"/>
    </xf>
    <xf numFmtId="0" fontId="7"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2" xfId="0" applyFont="1" applyFill="1" applyBorder="1" applyAlignment="1">
      <alignment horizontal="center" vertical="center"/>
    </xf>
    <xf numFmtId="0" fontId="1" fillId="0" borderId="1" xfId="0" applyFont="1" applyBorder="1" applyAlignment="1">
      <alignment horizontal="center" vertical="center"/>
    </xf>
    <xf numFmtId="0" fontId="0" fillId="0" borderId="2"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8" fillId="13" borderId="4" xfId="0" applyFont="1" applyFill="1" applyBorder="1" applyAlignment="1">
      <alignment horizontal="left" vertical="center" wrapText="1"/>
    </xf>
    <xf numFmtId="0" fontId="8" fillId="13" borderId="8" xfId="0" applyFont="1" applyFill="1" applyBorder="1" applyAlignment="1">
      <alignment horizontal="left" vertical="center" wrapText="1"/>
    </xf>
    <xf numFmtId="0" fontId="8" fillId="13" borderId="5" xfId="0" applyFont="1" applyFill="1" applyBorder="1" applyAlignment="1">
      <alignment horizontal="left" vertical="center" wrapText="1"/>
    </xf>
    <xf numFmtId="0" fontId="8" fillId="13" borderId="4" xfId="0" applyFont="1" applyFill="1" applyBorder="1" applyAlignment="1">
      <alignment horizontal="justify" vertical="center" wrapText="1"/>
    </xf>
    <xf numFmtId="0" fontId="8" fillId="13" borderId="8" xfId="0" applyFont="1" applyFill="1" applyBorder="1" applyAlignment="1">
      <alignment horizontal="justify" vertical="center" wrapText="1"/>
    </xf>
    <xf numFmtId="0" fontId="8" fillId="13" borderId="5" xfId="0" applyFont="1" applyFill="1" applyBorder="1" applyAlignment="1">
      <alignment horizontal="justify" vertical="center" wrapText="1"/>
    </xf>
    <xf numFmtId="0" fontId="0" fillId="13" borderId="4" xfId="0" applyFill="1" applyBorder="1" applyAlignment="1">
      <alignment horizontal="center" vertical="center"/>
    </xf>
    <xf numFmtId="0" fontId="0" fillId="13" borderId="5" xfId="0" applyFill="1" applyBorder="1" applyAlignment="1">
      <alignment horizontal="center" vertical="center"/>
    </xf>
    <xf numFmtId="0" fontId="0" fillId="13" borderId="4" xfId="0" applyFill="1" applyBorder="1" applyAlignment="1">
      <alignment horizontal="center" vertical="center" wrapText="1"/>
    </xf>
    <xf numFmtId="0" fontId="0" fillId="13" borderId="5" xfId="0" applyFill="1" applyBorder="1" applyAlignment="1">
      <alignment horizontal="center" vertical="center"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3" fillId="8" borderId="8" xfId="0" applyFont="1" applyFill="1" applyBorder="1" applyAlignment="1">
      <alignment horizontal="center" vertical="center" wrapText="1"/>
    </xf>
    <xf numFmtId="0" fontId="15" fillId="2" borderId="3"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2" xfId="0" applyFont="1" applyFill="1" applyBorder="1" applyAlignment="1">
      <alignment horizontal="center" vertical="center"/>
    </xf>
    <xf numFmtId="0" fontId="7" fillId="4" borderId="3" xfId="0" applyFont="1" applyFill="1" applyBorder="1" applyAlignment="1">
      <alignment horizontal="center" vertical="center"/>
    </xf>
    <xf numFmtId="0" fontId="9" fillId="7" borderId="1" xfId="0" applyFont="1" applyFill="1" applyBorder="1" applyAlignment="1">
      <alignment horizontal="center" vertical="center"/>
    </xf>
    <xf numFmtId="0" fontId="0" fillId="0" borderId="1" xfId="0" applyBorder="1" applyAlignment="1">
      <alignment horizontal="center" vertical="center"/>
    </xf>
    <xf numFmtId="17" fontId="0" fillId="0" borderId="1" xfId="0" applyNumberFormat="1" applyBorder="1" applyAlignment="1">
      <alignment horizontal="center" vertical="center"/>
    </xf>
    <xf numFmtId="0" fontId="8" fillId="2" borderId="1" xfId="0" applyFont="1" applyFill="1" applyBorder="1" applyAlignment="1">
      <alignment horizontal="center" vertical="justify" wrapText="1"/>
    </xf>
    <xf numFmtId="167" fontId="0" fillId="0" borderId="1" xfId="0" applyNumberFormat="1" applyBorder="1" applyAlignment="1">
      <alignment horizontal="center" vertical="center"/>
    </xf>
    <xf numFmtId="0" fontId="8" fillId="0" borderId="1" xfId="0" applyFont="1" applyBorder="1" applyAlignment="1">
      <alignment horizontal="center" vertical="center" wrapText="1"/>
    </xf>
    <xf numFmtId="169" fontId="0" fillId="0" borderId="4" xfId="0" applyNumberFormat="1" applyBorder="1" applyAlignment="1">
      <alignment horizontal="center" vertical="center"/>
    </xf>
    <xf numFmtId="169" fontId="0" fillId="0" borderId="5" xfId="0" applyNumberFormat="1" applyBorder="1" applyAlignment="1">
      <alignment horizontal="center" vertical="center"/>
    </xf>
    <xf numFmtId="0" fontId="0" fillId="6" borderId="1" xfId="0" applyFill="1" applyBorder="1" applyAlignment="1">
      <alignment horizontal="center" vertical="center"/>
    </xf>
    <xf numFmtId="0" fontId="8" fillId="6" borderId="1" xfId="0" applyFont="1" applyFill="1" applyBorder="1" applyAlignment="1">
      <alignment horizontal="center" vertical="center" wrapText="1"/>
    </xf>
    <xf numFmtId="167" fontId="0" fillId="6" borderId="4" xfId="0" applyNumberFormat="1" applyFill="1" applyBorder="1" applyAlignment="1">
      <alignment horizontal="center" vertical="center"/>
    </xf>
    <xf numFmtId="167" fontId="0" fillId="6" borderId="5" xfId="0" applyNumberFormat="1" applyFill="1" applyBorder="1" applyAlignment="1">
      <alignment horizontal="center" vertical="center"/>
    </xf>
    <xf numFmtId="0" fontId="1" fillId="5" borderId="1" xfId="0" applyFont="1" applyFill="1" applyBorder="1" applyAlignment="1">
      <alignment horizontal="center" vertical="center"/>
    </xf>
    <xf numFmtId="0" fontId="6" fillId="6" borderId="1" xfId="0" applyFont="1" applyFill="1" applyBorder="1" applyAlignment="1">
      <alignment horizontal="center" vertical="center"/>
    </xf>
    <xf numFmtId="0" fontId="1" fillId="5" borderId="6"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xf>
    <xf numFmtId="0" fontId="8" fillId="0" borderId="1" xfId="0" applyFont="1" applyBorder="1" applyAlignment="1">
      <alignment horizontal="left" vertical="center" wrapText="1"/>
    </xf>
    <xf numFmtId="0" fontId="9" fillId="7" borderId="6" xfId="0" applyFont="1" applyFill="1" applyBorder="1" applyAlignment="1">
      <alignment horizontal="center" vertical="center"/>
    </xf>
    <xf numFmtId="0" fontId="9" fillId="7" borderId="7" xfId="0" applyFont="1" applyFill="1" applyBorder="1" applyAlignment="1">
      <alignment horizontal="center" vertical="center"/>
    </xf>
    <xf numFmtId="0" fontId="9" fillId="7" borderId="2" xfId="0" applyFont="1" applyFill="1" applyBorder="1" applyAlignment="1">
      <alignment horizontal="center" vertical="center"/>
    </xf>
    <xf numFmtId="0" fontId="7" fillId="4" borderId="7" xfId="0" applyFont="1" applyFill="1" applyBorder="1" applyAlignment="1">
      <alignment horizontal="center" vertical="center"/>
    </xf>
    <xf numFmtId="0" fontId="0" fillId="2" borderId="1" xfId="0" applyFill="1" applyBorder="1" applyAlignment="1">
      <alignment horizontal="center" vertical="center"/>
    </xf>
    <xf numFmtId="0" fontId="8" fillId="2" borderId="1" xfId="0" applyFont="1" applyFill="1" applyBorder="1" applyAlignment="1">
      <alignment horizontal="center" vertical="center" wrapText="1"/>
    </xf>
    <xf numFmtId="167" fontId="0" fillId="2" borderId="4" xfId="0" applyNumberFormat="1" applyFill="1" applyBorder="1" applyAlignment="1">
      <alignment horizontal="center" vertical="center"/>
    </xf>
    <xf numFmtId="167" fontId="0" fillId="2" borderId="5" xfId="0" applyNumberFormat="1" applyFill="1" applyBorder="1" applyAlignment="1">
      <alignment horizontal="center" vertical="center"/>
    </xf>
    <xf numFmtId="169" fontId="0" fillId="8" borderId="4" xfId="0" applyNumberFormat="1" applyFill="1" applyBorder="1" applyAlignment="1">
      <alignment horizontal="center" vertical="center"/>
    </xf>
    <xf numFmtId="169" fontId="0" fillId="8" borderId="5" xfId="0" applyNumberFormat="1" applyFill="1" applyBorder="1" applyAlignment="1">
      <alignment horizontal="center" vertical="center"/>
    </xf>
    <xf numFmtId="0" fontId="0" fillId="8" borderId="4" xfId="0" applyFill="1" applyBorder="1" applyAlignment="1">
      <alignment horizontal="center" vertical="center"/>
    </xf>
    <xf numFmtId="0" fontId="0" fillId="8" borderId="5" xfId="0" applyFill="1" applyBorder="1" applyAlignment="1">
      <alignment horizontal="center" vertical="center"/>
    </xf>
    <xf numFmtId="0" fontId="8" fillId="8" borderId="4" xfId="0" applyFont="1" applyFill="1" applyBorder="1" applyAlignment="1">
      <alignment horizontal="left" vertical="center" wrapText="1"/>
    </xf>
    <xf numFmtId="0" fontId="8" fillId="8" borderId="5" xfId="0" applyFont="1" applyFill="1" applyBorder="1" applyAlignment="1">
      <alignment horizontal="left" vertical="center" wrapText="1"/>
    </xf>
    <xf numFmtId="0" fontId="0" fillId="8" borderId="8" xfId="0" applyFill="1" applyBorder="1" applyAlignment="1">
      <alignment horizontal="center" vertical="center"/>
    </xf>
    <xf numFmtId="0" fontId="8" fillId="8" borderId="8" xfId="0" applyFont="1" applyFill="1" applyBorder="1" applyAlignment="1">
      <alignment horizontal="left" vertical="center" wrapText="1"/>
    </xf>
    <xf numFmtId="169" fontId="0" fillId="8" borderId="8" xfId="0" applyNumberFormat="1" applyFill="1" applyBorder="1" applyAlignment="1">
      <alignment horizontal="center" vertical="center"/>
    </xf>
    <xf numFmtId="0" fontId="1" fillId="5" borderId="6" xfId="0" applyFont="1" applyFill="1" applyBorder="1" applyAlignment="1">
      <alignment horizontal="center" vertical="center"/>
    </xf>
    <xf numFmtId="0" fontId="1" fillId="5" borderId="7" xfId="0" applyFont="1" applyFill="1" applyBorder="1" applyAlignment="1">
      <alignment horizontal="center" vertical="center"/>
    </xf>
    <xf numFmtId="0" fontId="1" fillId="5" borderId="2" xfId="0" applyFont="1" applyFill="1" applyBorder="1" applyAlignment="1">
      <alignment horizontal="center" vertical="center"/>
    </xf>
    <xf numFmtId="0" fontId="0" fillId="0" borderId="9" xfId="0" applyBorder="1" applyAlignment="1">
      <alignment horizontal="center" vertical="center" wrapText="1"/>
    </xf>
    <xf numFmtId="0" fontId="0" fillId="0" borderId="0" xfId="0" applyAlignment="1">
      <alignment horizontal="center" vertical="center" wrapText="1"/>
    </xf>
    <xf numFmtId="0" fontId="1" fillId="5" borderId="11" xfId="0" applyFont="1" applyFill="1" applyBorder="1" applyAlignment="1">
      <alignment horizontal="center" vertical="center"/>
    </xf>
    <xf numFmtId="0" fontId="16" fillId="0" borderId="1" xfId="0" applyFont="1" applyFill="1" applyBorder="1" applyAlignment="1">
      <alignment horizontal="justify" vertical="center" wrapText="1"/>
    </xf>
    <xf numFmtId="0" fontId="17" fillId="0" borderId="1" xfId="0" applyFont="1" applyFill="1" applyBorder="1" applyAlignment="1">
      <alignment horizontal="center" vertical="center" wrapText="1"/>
    </xf>
    <xf numFmtId="42" fontId="17" fillId="0" borderId="1" xfId="2" applyFont="1" applyFill="1" applyBorder="1" applyAlignment="1">
      <alignment horizontal="center" vertical="center"/>
    </xf>
    <xf numFmtId="0" fontId="16" fillId="0" borderId="1" xfId="0" applyFont="1" applyFill="1" applyBorder="1" applyAlignment="1">
      <alignment horizontal="justify" vertical="center"/>
    </xf>
    <xf numFmtId="0" fontId="16" fillId="0" borderId="1" xfId="0" applyFont="1" applyFill="1" applyBorder="1" applyAlignment="1">
      <alignment vertical="center" wrapText="1"/>
    </xf>
    <xf numFmtId="0" fontId="16" fillId="0" borderId="4" xfId="0" applyFont="1" applyFill="1" applyBorder="1" applyAlignment="1">
      <alignment horizontal="left" vertical="center" wrapText="1"/>
    </xf>
    <xf numFmtId="0" fontId="16" fillId="0" borderId="4" xfId="0" applyFont="1" applyFill="1" applyBorder="1" applyAlignment="1">
      <alignment horizontal="justify" vertical="center" wrapText="1"/>
    </xf>
    <xf numFmtId="0" fontId="16" fillId="0" borderId="8" xfId="0" applyFont="1" applyFill="1" applyBorder="1" applyAlignment="1">
      <alignment horizontal="left" vertical="center" wrapText="1"/>
    </xf>
    <xf numFmtId="0" fontId="16" fillId="0" borderId="8" xfId="0" applyFont="1" applyFill="1" applyBorder="1" applyAlignment="1">
      <alignment horizontal="justify" vertical="center" wrapText="1"/>
    </xf>
    <xf numFmtId="0" fontId="16" fillId="0" borderId="5" xfId="0" applyFont="1" applyFill="1" applyBorder="1" applyAlignment="1">
      <alignment horizontal="left" vertical="center" wrapText="1"/>
    </xf>
    <xf numFmtId="0" fontId="16" fillId="0" borderId="5" xfId="0" applyFont="1" applyFill="1" applyBorder="1" applyAlignment="1">
      <alignment horizontal="justify" vertical="center" wrapText="1"/>
    </xf>
    <xf numFmtId="0" fontId="16" fillId="0" borderId="1" xfId="0" applyFont="1" applyFill="1" applyBorder="1" applyAlignment="1">
      <alignment vertical="center"/>
    </xf>
    <xf numFmtId="0" fontId="17" fillId="0" borderId="1" xfId="0" applyFont="1" applyFill="1" applyBorder="1" applyAlignment="1">
      <alignment vertical="center" wrapText="1"/>
    </xf>
    <xf numFmtId="0" fontId="17" fillId="0" borderId="1" xfId="0" applyFont="1" applyFill="1" applyBorder="1" applyAlignment="1">
      <alignment horizontal="justify" vertical="center" wrapText="1"/>
    </xf>
    <xf numFmtId="0" fontId="18" fillId="0" borderId="0" xfId="0" applyFont="1" applyFill="1" applyAlignment="1">
      <alignment horizontal="center" vertical="center"/>
    </xf>
    <xf numFmtId="0" fontId="16" fillId="0" borderId="0" xfId="0" applyFont="1" applyFill="1" applyAlignment="1">
      <alignment vertical="center" wrapText="1"/>
    </xf>
    <xf numFmtId="0" fontId="16" fillId="0" borderId="0" xfId="0" applyFont="1" applyFill="1" applyAlignment="1">
      <alignment vertical="center"/>
    </xf>
    <xf numFmtId="0" fontId="16" fillId="0" borderId="0" xfId="0" applyFont="1" applyFill="1"/>
    <xf numFmtId="0" fontId="18" fillId="0" borderId="3" xfId="0" applyFont="1" applyFill="1" applyBorder="1" applyAlignment="1">
      <alignment horizontal="center" vertical="center"/>
    </xf>
    <xf numFmtId="0" fontId="18" fillId="0" borderId="0" xfId="0" applyFont="1" applyFill="1" applyAlignment="1">
      <alignment vertical="center"/>
    </xf>
    <xf numFmtId="0" fontId="18" fillId="0" borderId="1" xfId="0" applyFont="1" applyFill="1" applyBorder="1" applyAlignment="1">
      <alignment horizontal="center" vertical="center"/>
    </xf>
    <xf numFmtId="0" fontId="18" fillId="0" borderId="0" xfId="0" applyFont="1" applyFill="1" applyAlignment="1">
      <alignment horizontal="center" vertical="center"/>
    </xf>
    <xf numFmtId="0" fontId="18" fillId="0" borderId="1" xfId="0" applyFont="1" applyFill="1" applyBorder="1" applyAlignment="1">
      <alignment horizontal="center" vertical="center" wrapText="1"/>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1" xfId="0" applyFont="1" applyFill="1" applyBorder="1" applyAlignment="1">
      <alignment horizontal="center" vertical="center" wrapText="1"/>
    </xf>
    <xf numFmtId="0" fontId="18" fillId="0" borderId="1" xfId="0" applyFont="1" applyFill="1" applyBorder="1" applyAlignment="1">
      <alignment horizontal="center" vertical="center"/>
    </xf>
    <xf numFmtId="0" fontId="16" fillId="0" borderId="1" xfId="0" applyFont="1" applyFill="1" applyBorder="1" applyAlignment="1">
      <alignment horizontal="center" vertical="center"/>
    </xf>
    <xf numFmtId="169" fontId="16" fillId="0" borderId="4" xfId="0" applyNumberFormat="1" applyFont="1" applyFill="1" applyBorder="1" applyAlignment="1">
      <alignment vertical="center" wrapText="1"/>
    </xf>
    <xf numFmtId="170" fontId="16" fillId="0" borderId="4" xfId="0" applyNumberFormat="1" applyFont="1" applyFill="1" applyBorder="1" applyAlignment="1">
      <alignment vertical="center" wrapText="1"/>
    </xf>
    <xf numFmtId="169" fontId="16" fillId="0" borderId="1" xfId="0" applyNumberFormat="1" applyFont="1" applyFill="1" applyBorder="1" applyAlignment="1">
      <alignment vertical="center" wrapText="1"/>
    </xf>
    <xf numFmtId="170" fontId="16" fillId="0" borderId="1" xfId="0" applyNumberFormat="1" applyFont="1" applyFill="1" applyBorder="1" applyAlignment="1">
      <alignment vertical="center" wrapText="1"/>
    </xf>
    <xf numFmtId="0" fontId="18" fillId="0" borderId="12"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15"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16"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17" xfId="0" applyFont="1" applyFill="1" applyBorder="1" applyAlignment="1">
      <alignment horizontal="center" vertical="center"/>
    </xf>
    <xf numFmtId="0" fontId="16" fillId="0" borderId="19" xfId="0" applyFont="1" applyFill="1" applyBorder="1" applyAlignment="1">
      <alignment horizontal="center" vertical="center"/>
    </xf>
    <xf numFmtId="169" fontId="18" fillId="0" borderId="18" xfId="0" applyNumberFormat="1" applyFont="1" applyFill="1" applyBorder="1" applyAlignment="1">
      <alignment horizontal="center" vertical="center"/>
    </xf>
    <xf numFmtId="0" fontId="16" fillId="0" borderId="20" xfId="0" applyFont="1" applyFill="1" applyBorder="1" applyAlignment="1">
      <alignment horizontal="center" vertical="center"/>
    </xf>
    <xf numFmtId="0" fontId="16" fillId="0" borderId="4" xfId="0" applyFont="1" applyFill="1" applyBorder="1" applyAlignment="1">
      <alignment horizontal="center" vertical="center"/>
    </xf>
    <xf numFmtId="0" fontId="16" fillId="0" borderId="4" xfId="0" applyFont="1" applyFill="1" applyBorder="1" applyAlignment="1">
      <alignment horizontal="center" vertical="center" wrapText="1"/>
    </xf>
    <xf numFmtId="0" fontId="16" fillId="0" borderId="21" xfId="0" applyFont="1" applyFill="1" applyBorder="1" applyAlignment="1">
      <alignment horizontal="center" vertical="center"/>
    </xf>
    <xf numFmtId="0" fontId="16" fillId="0" borderId="1" xfId="0" applyFont="1" applyFill="1" applyBorder="1" applyAlignment="1">
      <alignment horizontal="center" vertical="center" wrapText="1"/>
    </xf>
    <xf numFmtId="0" fontId="16" fillId="0" borderId="5" xfId="0" applyFont="1" applyFill="1" applyBorder="1" applyAlignment="1">
      <alignment horizontal="center" vertical="center"/>
    </xf>
    <xf numFmtId="0" fontId="16" fillId="0" borderId="5" xfId="0" applyFont="1" applyFill="1" applyBorder="1" applyAlignment="1">
      <alignment horizontal="center" vertical="center" wrapText="1"/>
    </xf>
    <xf numFmtId="0" fontId="16" fillId="0" borderId="15" xfId="0" applyFont="1" applyFill="1" applyBorder="1" applyAlignment="1">
      <alignment vertical="center"/>
    </xf>
    <xf numFmtId="169" fontId="18" fillId="0" borderId="18" xfId="0" applyNumberFormat="1" applyFont="1" applyFill="1" applyBorder="1" applyAlignment="1">
      <alignment vertical="center"/>
    </xf>
    <xf numFmtId="0" fontId="16" fillId="0" borderId="15" xfId="0" applyFont="1" applyFill="1" applyBorder="1" applyAlignment="1">
      <alignment horizontal="center" vertical="center"/>
    </xf>
    <xf numFmtId="42" fontId="18" fillId="0" borderId="18" xfId="0" applyNumberFormat="1" applyFont="1" applyFill="1" applyBorder="1" applyAlignment="1">
      <alignment vertical="center"/>
    </xf>
    <xf numFmtId="169" fontId="16"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xf>
    <xf numFmtId="169" fontId="17" fillId="0" borderId="1" xfId="0" applyNumberFormat="1" applyFont="1" applyFill="1" applyBorder="1" applyAlignment="1">
      <alignment vertical="center" wrapText="1"/>
    </xf>
    <xf numFmtId="170" fontId="17" fillId="0" borderId="1" xfId="0" applyNumberFormat="1" applyFont="1" applyFill="1" applyBorder="1" applyAlignment="1">
      <alignment vertical="center" wrapText="1"/>
    </xf>
    <xf numFmtId="170" fontId="17" fillId="0" borderId="4" xfId="0" applyNumberFormat="1" applyFont="1" applyFill="1" applyBorder="1" applyAlignment="1">
      <alignment vertical="center" wrapText="1"/>
    </xf>
    <xf numFmtId="0" fontId="17" fillId="0" borderId="1" xfId="0" applyFont="1" applyFill="1" applyBorder="1"/>
    <xf numFmtId="0" fontId="17" fillId="0" borderId="0" xfId="0" applyFont="1" applyFill="1"/>
    <xf numFmtId="17" fontId="16" fillId="0" borderId="15" xfId="0" applyNumberFormat="1" applyFont="1" applyFill="1" applyBorder="1" applyAlignment="1">
      <alignment horizontal="center" vertical="center"/>
    </xf>
    <xf numFmtId="17" fontId="16" fillId="0" borderId="15" xfId="0" applyNumberFormat="1" applyFont="1" applyFill="1" applyBorder="1" applyAlignment="1">
      <alignment vertical="center"/>
    </xf>
    <xf numFmtId="169" fontId="18" fillId="0" borderId="18" xfId="0" applyNumberFormat="1" applyFont="1" applyFill="1" applyBorder="1" applyAlignment="1">
      <alignment vertical="center" wrapText="1"/>
    </xf>
    <xf numFmtId="164" fontId="16" fillId="0" borderId="1" xfId="1" applyNumberFormat="1" applyFont="1" applyFill="1" applyBorder="1" applyAlignment="1">
      <alignment horizontal="center" vertical="center"/>
    </xf>
    <xf numFmtId="170" fontId="16" fillId="0" borderId="1" xfId="0" applyNumberFormat="1" applyFont="1" applyFill="1" applyBorder="1" applyAlignment="1">
      <alignment horizontal="center" vertical="center"/>
    </xf>
    <xf numFmtId="0" fontId="16" fillId="0" borderId="1" xfId="0" applyFont="1" applyFill="1" applyBorder="1"/>
    <xf numFmtId="170" fontId="18" fillId="0" borderId="1" xfId="0" applyNumberFormat="1" applyFont="1" applyFill="1" applyBorder="1" applyAlignment="1">
      <alignment vertical="center" wrapText="1"/>
    </xf>
    <xf numFmtId="0" fontId="18" fillId="0" borderId="4" xfId="0" applyFont="1" applyFill="1" applyBorder="1" applyAlignment="1">
      <alignment horizontal="center" vertical="center"/>
    </xf>
    <xf numFmtId="42" fontId="16" fillId="0" borderId="1" xfId="2" applyFont="1" applyFill="1" applyBorder="1" applyAlignment="1">
      <alignment vertical="center"/>
    </xf>
    <xf numFmtId="168" fontId="16" fillId="0" borderId="1" xfId="1" applyNumberFormat="1" applyFont="1" applyFill="1" applyBorder="1" applyAlignment="1">
      <alignment horizontal="center" vertical="center"/>
    </xf>
    <xf numFmtId="167" fontId="16" fillId="0" borderId="1" xfId="0" applyNumberFormat="1" applyFont="1" applyFill="1" applyBorder="1" applyAlignment="1">
      <alignment vertical="center" wrapText="1"/>
    </xf>
    <xf numFmtId="169" fontId="16" fillId="0" borderId="1" xfId="0" applyNumberFormat="1" applyFont="1" applyFill="1" applyBorder="1" applyAlignment="1">
      <alignment vertical="center"/>
    </xf>
    <xf numFmtId="170" fontId="16" fillId="0" borderId="1" xfId="0" applyNumberFormat="1" applyFont="1" applyFill="1" applyBorder="1"/>
    <xf numFmtId="42" fontId="16" fillId="0" borderId="1" xfId="2" applyFont="1" applyFill="1" applyBorder="1" applyAlignment="1">
      <alignment vertical="center" wrapText="1"/>
    </xf>
    <xf numFmtId="42" fontId="16" fillId="0" borderId="1" xfId="0" applyNumberFormat="1" applyFont="1" applyFill="1" applyBorder="1" applyAlignment="1">
      <alignment vertical="center" wrapText="1"/>
    </xf>
    <xf numFmtId="172" fontId="16" fillId="0" borderId="1" xfId="0" applyNumberFormat="1" applyFont="1" applyFill="1" applyBorder="1" applyAlignment="1">
      <alignment horizontal="center" vertical="center" wrapText="1"/>
    </xf>
    <xf numFmtId="5" fontId="16" fillId="0" borderId="1" xfId="2" applyNumberFormat="1" applyFont="1" applyFill="1" applyBorder="1" applyAlignment="1">
      <alignment horizontal="center" vertical="center"/>
    </xf>
    <xf numFmtId="171" fontId="16" fillId="0" borderId="1" xfId="0" applyNumberFormat="1" applyFont="1" applyFill="1" applyBorder="1" applyAlignment="1">
      <alignment vertical="center"/>
    </xf>
    <xf numFmtId="169" fontId="19" fillId="0" borderId="1" xfId="0" applyNumberFormat="1" applyFont="1" applyFill="1" applyBorder="1" applyAlignment="1">
      <alignment vertical="center"/>
    </xf>
    <xf numFmtId="173" fontId="16" fillId="0" borderId="1" xfId="0" applyNumberFormat="1" applyFont="1" applyFill="1" applyBorder="1" applyAlignment="1">
      <alignment horizontal="center" vertical="center"/>
    </xf>
    <xf numFmtId="0" fontId="16" fillId="0" borderId="6" xfId="0" applyFont="1" applyFill="1" applyBorder="1" applyAlignment="1">
      <alignment horizontal="center" vertical="center"/>
    </xf>
    <xf numFmtId="0" fontId="16" fillId="0" borderId="2" xfId="0" applyFont="1" applyFill="1" applyBorder="1" applyAlignment="1">
      <alignment horizontal="center" vertical="center"/>
    </xf>
    <xf numFmtId="174" fontId="16" fillId="0" borderId="1" xfId="0" applyNumberFormat="1" applyFont="1" applyFill="1" applyBorder="1" applyAlignment="1">
      <alignment vertical="center" wrapText="1"/>
    </xf>
    <xf numFmtId="173" fontId="16" fillId="0" borderId="1" xfId="0" applyNumberFormat="1" applyFont="1" applyFill="1" applyBorder="1" applyAlignment="1">
      <alignment vertical="center" wrapText="1"/>
    </xf>
    <xf numFmtId="173" fontId="18" fillId="0" borderId="1" xfId="0" applyNumberFormat="1" applyFont="1" applyFill="1" applyBorder="1" applyAlignment="1">
      <alignment horizontal="center" vertical="center"/>
    </xf>
    <xf numFmtId="42" fontId="18" fillId="0" borderId="1" xfId="0" applyNumberFormat="1" applyFont="1" applyFill="1" applyBorder="1" applyAlignment="1">
      <alignment vertical="center" wrapText="1"/>
    </xf>
    <xf numFmtId="0" fontId="18" fillId="0" borderId="0" xfId="0" applyFont="1" applyFill="1" applyAlignment="1">
      <alignment horizontal="left" vertical="center"/>
    </xf>
  </cellXfs>
  <cellStyles count="3">
    <cellStyle name="Moneda" xfId="1" builtinId="4"/>
    <cellStyle name="Moneda [0]" xfId="2"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UTS\Banco%20de%20Proyectos\PROYECTOS%202018\investigaciones\SALDOS%20INVESTIGACION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TS\Banco%20de%20Proyectos\PROYECTOS%202018\EJECUCIONES%20PRESUPUESTALES\Julio\EJECUCION%20DE%20GASTOS%20MES%20DE%20JULIO%20-%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ow r="3">
          <cell r="D3">
            <v>115872000</v>
          </cell>
        </row>
        <row r="4">
          <cell r="D4">
            <v>29104000</v>
          </cell>
        </row>
        <row r="5">
          <cell r="D5">
            <v>26450000</v>
          </cell>
        </row>
        <row r="6">
          <cell r="D6">
            <v>34980000</v>
          </cell>
        </row>
        <row r="7">
          <cell r="D7">
            <v>90200000</v>
          </cell>
        </row>
        <row r="8">
          <cell r="D8">
            <v>61600000</v>
          </cell>
        </row>
        <row r="9">
          <cell r="D9">
            <v>500000000</v>
          </cell>
        </row>
        <row r="10">
          <cell r="D10">
            <v>122400000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xtx_010"/>
    </sheetNames>
    <sheetDataSet>
      <sheetData sheetId="0">
        <row r="99">
          <cell r="J99">
            <v>6319086396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4"/>
  <sheetViews>
    <sheetView zoomScale="80" zoomScaleNormal="80" workbookViewId="0">
      <selection activeCell="I4" sqref="I4"/>
    </sheetView>
  </sheetViews>
  <sheetFormatPr baseColWidth="10" defaultRowHeight="15" x14ac:dyDescent="0.25"/>
  <cols>
    <col min="1" max="1" width="8.42578125" style="5" customWidth="1"/>
    <col min="2" max="2" width="35.85546875" style="5" customWidth="1"/>
    <col min="3" max="3" width="56.7109375" style="5" customWidth="1"/>
    <col min="4" max="4" width="17.42578125" style="5" customWidth="1"/>
    <col min="5" max="5" width="21.7109375" style="6" customWidth="1"/>
    <col min="6" max="6" width="21" style="6" bestFit="1" customWidth="1"/>
    <col min="7" max="7" width="21.5703125" style="6" customWidth="1"/>
    <col min="8" max="8" width="28.42578125" style="5" customWidth="1"/>
    <col min="9" max="9" width="25.7109375" customWidth="1"/>
    <col min="10" max="10" width="16.28515625" customWidth="1"/>
    <col min="11" max="11" width="21.140625" customWidth="1"/>
  </cols>
  <sheetData>
    <row r="1" spans="1:10" ht="28.5" x14ac:dyDescent="0.25">
      <c r="A1" s="220" t="s">
        <v>187</v>
      </c>
      <c r="B1" s="220"/>
      <c r="C1" s="220"/>
      <c r="D1" s="220"/>
      <c r="E1" s="220"/>
      <c r="F1" s="220"/>
      <c r="G1" s="220"/>
      <c r="H1" s="220"/>
      <c r="I1" s="220"/>
    </row>
    <row r="2" spans="1:10" ht="30" customHeight="1" x14ac:dyDescent="0.25">
      <c r="A2" s="244" t="s">
        <v>28</v>
      </c>
      <c r="B2" s="244" t="s">
        <v>23</v>
      </c>
      <c r="C2" s="244" t="s">
        <v>1</v>
      </c>
      <c r="D2" s="245" t="s">
        <v>27</v>
      </c>
      <c r="E2" s="247" t="s">
        <v>2</v>
      </c>
      <c r="F2" s="248"/>
      <c r="G2" s="249"/>
      <c r="H2" s="241" t="s">
        <v>37</v>
      </c>
      <c r="I2" s="241" t="s">
        <v>121</v>
      </c>
    </row>
    <row r="3" spans="1:10" ht="30" x14ac:dyDescent="0.25">
      <c r="A3" s="244"/>
      <c r="B3" s="244"/>
      <c r="C3" s="244"/>
      <c r="D3" s="246"/>
      <c r="E3" s="8" t="s">
        <v>34</v>
      </c>
      <c r="F3" s="8" t="s">
        <v>35</v>
      </c>
      <c r="G3" s="8" t="s">
        <v>120</v>
      </c>
      <c r="H3" s="241"/>
      <c r="I3" s="241"/>
    </row>
    <row r="4" spans="1:10" ht="90" x14ac:dyDescent="0.25">
      <c r="A4" s="99" t="s">
        <v>22</v>
      </c>
      <c r="B4" s="100" t="s">
        <v>4</v>
      </c>
      <c r="C4" s="101" t="s">
        <v>14</v>
      </c>
      <c r="D4" s="98" t="s">
        <v>123</v>
      </c>
      <c r="E4" s="102">
        <v>1335975332.51</v>
      </c>
      <c r="F4" s="102"/>
      <c r="G4" s="102"/>
      <c r="H4" s="103">
        <f>E4+F4</f>
        <v>1335975332.51</v>
      </c>
      <c r="I4" s="98" t="s">
        <v>122</v>
      </c>
      <c r="J4" s="34"/>
    </row>
    <row r="5" spans="1:10" ht="83.25" customHeight="1" x14ac:dyDescent="0.25">
      <c r="A5" s="104" t="s">
        <v>20</v>
      </c>
      <c r="B5" s="100" t="s">
        <v>7</v>
      </c>
      <c r="C5" s="101" t="s">
        <v>12</v>
      </c>
      <c r="D5" s="98" t="s">
        <v>123</v>
      </c>
      <c r="E5" s="102">
        <v>150000000</v>
      </c>
      <c r="F5" s="102">
        <v>1199991106</v>
      </c>
      <c r="G5" s="104"/>
      <c r="H5" s="103">
        <f>+E5+F5</f>
        <v>1349991106</v>
      </c>
      <c r="I5" s="98" t="s">
        <v>124</v>
      </c>
      <c r="J5" s="120">
        <f>+H5+H7</f>
        <v>1999990908</v>
      </c>
    </row>
    <row r="6" spans="1:10" ht="105" x14ac:dyDescent="0.25">
      <c r="A6" s="104" t="s">
        <v>21</v>
      </c>
      <c r="B6" s="100" t="s">
        <v>6</v>
      </c>
      <c r="C6" s="105" t="s">
        <v>125</v>
      </c>
      <c r="D6" s="98" t="s">
        <v>29</v>
      </c>
      <c r="E6" s="102">
        <v>0</v>
      </c>
      <c r="F6" s="102">
        <v>1800000000</v>
      </c>
      <c r="G6" s="106"/>
      <c r="H6" s="103">
        <f>E6+F6</f>
        <v>1800000000</v>
      </c>
      <c r="I6" s="104" t="s">
        <v>126</v>
      </c>
    </row>
    <row r="7" spans="1:10" ht="72" customHeight="1" x14ac:dyDescent="0.25">
      <c r="A7" s="104" t="s">
        <v>19</v>
      </c>
      <c r="B7" s="100" t="s">
        <v>8</v>
      </c>
      <c r="C7" s="107" t="s">
        <v>127</v>
      </c>
      <c r="D7" s="98" t="s">
        <v>29</v>
      </c>
      <c r="E7" s="102">
        <v>250000000</v>
      </c>
      <c r="F7" s="102">
        <v>399999802</v>
      </c>
      <c r="G7" s="102"/>
      <c r="H7" s="103">
        <f>E7+F7</f>
        <v>649999802</v>
      </c>
      <c r="I7" s="104" t="s">
        <v>126</v>
      </c>
    </row>
    <row r="8" spans="1:10" ht="90" x14ac:dyDescent="0.25">
      <c r="A8" s="108" t="s">
        <v>39</v>
      </c>
      <c r="B8" s="109" t="s">
        <v>38</v>
      </c>
      <c r="C8" s="104" t="s">
        <v>130</v>
      </c>
      <c r="D8" s="98" t="s">
        <v>129</v>
      </c>
      <c r="E8" s="110"/>
      <c r="F8" s="111">
        <v>362557490</v>
      </c>
      <c r="G8" s="111"/>
      <c r="H8" s="112">
        <f>F8</f>
        <v>362557490</v>
      </c>
      <c r="I8" s="98" t="s">
        <v>128</v>
      </c>
    </row>
    <row r="9" spans="1:10" ht="45" customHeight="1" x14ac:dyDescent="0.25">
      <c r="A9" s="213" t="s">
        <v>41</v>
      </c>
      <c r="B9" s="214" t="s">
        <v>43</v>
      </c>
      <c r="C9" s="213" t="s">
        <v>42</v>
      </c>
      <c r="D9" s="108" t="s">
        <v>33</v>
      </c>
      <c r="E9" s="110"/>
      <c r="F9" s="111">
        <v>773978940</v>
      </c>
      <c r="G9" s="226"/>
      <c r="H9" s="232">
        <f>SUM(F9+F10)</f>
        <v>981978940</v>
      </c>
      <c r="I9" s="224" t="s">
        <v>131</v>
      </c>
    </row>
    <row r="10" spans="1:10" ht="57" customHeight="1" x14ac:dyDescent="0.25">
      <c r="A10" s="213"/>
      <c r="B10" s="214"/>
      <c r="C10" s="213"/>
      <c r="D10" s="108" t="s">
        <v>36</v>
      </c>
      <c r="E10" s="110"/>
      <c r="F10" s="113">
        <v>208000000</v>
      </c>
      <c r="G10" s="227"/>
      <c r="H10" s="233"/>
      <c r="I10" s="225"/>
    </row>
    <row r="11" spans="1:10" ht="38.25" customHeight="1" x14ac:dyDescent="0.25">
      <c r="A11" s="215" t="s">
        <v>114</v>
      </c>
      <c r="B11" s="242" t="s">
        <v>48</v>
      </c>
      <c r="C11" s="215" t="s">
        <v>49</v>
      </c>
      <c r="D11" s="56" t="s">
        <v>33</v>
      </c>
      <c r="E11" s="77">
        <v>500000000</v>
      </c>
      <c r="F11" s="78"/>
      <c r="G11" s="78"/>
      <c r="H11" s="229">
        <f>+E11+F12</f>
        <v>600000000</v>
      </c>
      <c r="I11" s="228"/>
    </row>
    <row r="12" spans="1:10" x14ac:dyDescent="0.25">
      <c r="A12" s="217"/>
      <c r="B12" s="243"/>
      <c r="C12" s="217"/>
      <c r="D12" s="56" t="s">
        <v>33</v>
      </c>
      <c r="E12" s="78"/>
      <c r="F12" s="78">
        <v>100000000</v>
      </c>
      <c r="G12" s="78"/>
      <c r="H12" s="230"/>
      <c r="I12" s="228"/>
    </row>
    <row r="13" spans="1:10" ht="72.75" customHeight="1" x14ac:dyDescent="0.25">
      <c r="A13" s="215" t="s">
        <v>132</v>
      </c>
      <c r="B13" s="238" t="s">
        <v>90</v>
      </c>
      <c r="C13" s="215" t="s">
        <v>96</v>
      </c>
      <c r="D13" s="56" t="s">
        <v>36</v>
      </c>
      <c r="E13" s="73"/>
      <c r="F13" s="78">
        <f>(737717*8000)*20%</f>
        <v>1180347200</v>
      </c>
      <c r="G13" s="73"/>
      <c r="H13" s="229">
        <f>SUM(F13:F15)</f>
        <v>1408754000</v>
      </c>
      <c r="I13" s="228" t="s">
        <v>133</v>
      </c>
    </row>
    <row r="14" spans="1:10" ht="38.25" customHeight="1" x14ac:dyDescent="0.25">
      <c r="A14" s="216"/>
      <c r="B14" s="239"/>
      <c r="C14" s="216"/>
      <c r="D14" s="56" t="s">
        <v>33</v>
      </c>
      <c r="E14" s="73"/>
      <c r="F14" s="78">
        <v>200000000</v>
      </c>
      <c r="G14" s="73"/>
      <c r="H14" s="234"/>
      <c r="I14" s="228"/>
    </row>
    <row r="15" spans="1:10" ht="29.25" customHeight="1" x14ac:dyDescent="0.25">
      <c r="A15" s="217"/>
      <c r="B15" s="240"/>
      <c r="C15" s="217"/>
      <c r="D15" s="73" t="s">
        <v>95</v>
      </c>
      <c r="E15" s="73"/>
      <c r="F15" s="78">
        <v>28406800</v>
      </c>
      <c r="G15" s="73"/>
      <c r="H15" s="230"/>
      <c r="I15" s="228"/>
    </row>
    <row r="16" spans="1:10" ht="51" x14ac:dyDescent="0.25">
      <c r="A16" s="85"/>
      <c r="B16" s="86" t="s">
        <v>60</v>
      </c>
      <c r="C16" s="85" t="s">
        <v>61</v>
      </c>
      <c r="D16" s="85" t="s">
        <v>36</v>
      </c>
      <c r="E16" s="87">
        <v>0</v>
      </c>
      <c r="F16" s="88">
        <f>(781242*8000)*60%</f>
        <v>3749961600</v>
      </c>
      <c r="G16" s="87">
        <v>0</v>
      </c>
      <c r="H16" s="89">
        <f>+E16+F16+G16</f>
        <v>3749961600</v>
      </c>
      <c r="I16" s="92"/>
    </row>
    <row r="17" spans="1:9" ht="63.75" x14ac:dyDescent="0.25">
      <c r="A17" s="85"/>
      <c r="B17" s="86" t="s">
        <v>63</v>
      </c>
      <c r="C17" s="85" t="s">
        <v>62</v>
      </c>
      <c r="D17" s="85" t="s">
        <v>36</v>
      </c>
      <c r="E17" s="87">
        <v>0</v>
      </c>
      <c r="F17" s="87">
        <f>(781242*8000)*20%</f>
        <v>1249987200</v>
      </c>
      <c r="G17" s="87">
        <v>0</v>
      </c>
      <c r="H17" s="89">
        <f>+E17+F17+G17</f>
        <v>1249987200</v>
      </c>
      <c r="I17" s="92"/>
    </row>
    <row r="18" spans="1:9" ht="25.5" x14ac:dyDescent="0.25">
      <c r="A18" s="85"/>
      <c r="B18" s="86" t="s">
        <v>134</v>
      </c>
      <c r="C18" s="85" t="s">
        <v>173</v>
      </c>
      <c r="D18" s="85" t="s">
        <v>36</v>
      </c>
      <c r="E18" s="87"/>
      <c r="F18" s="87">
        <f>(781242*8000)*20%</f>
        <v>1249987200</v>
      </c>
      <c r="G18" s="87"/>
      <c r="H18" s="89">
        <f>+E18+F18+G18</f>
        <v>1249987200</v>
      </c>
      <c r="I18" s="92"/>
    </row>
    <row r="19" spans="1:9" ht="55.5" customHeight="1" x14ac:dyDescent="0.25">
      <c r="A19" s="90"/>
      <c r="B19" s="94" t="s">
        <v>94</v>
      </c>
      <c r="C19" s="91" t="s">
        <v>76</v>
      </c>
      <c r="D19" s="85" t="s">
        <v>171</v>
      </c>
      <c r="E19" s="87"/>
      <c r="F19" s="87">
        <v>300000000</v>
      </c>
      <c r="G19" s="87"/>
      <c r="H19" s="89">
        <f>F19</f>
        <v>300000000</v>
      </c>
      <c r="I19" s="92"/>
    </row>
    <row r="20" spans="1:9" ht="22.5" customHeight="1" x14ac:dyDescent="0.25">
      <c r="A20" s="212"/>
      <c r="B20" s="236" t="s">
        <v>44</v>
      </c>
      <c r="C20" s="212" t="s">
        <v>97</v>
      </c>
      <c r="D20" s="85" t="s">
        <v>33</v>
      </c>
      <c r="E20" s="87"/>
      <c r="F20" s="87">
        <v>400000000</v>
      </c>
      <c r="G20" s="235"/>
      <c r="H20" s="231">
        <f>+F20+E21</f>
        <v>500000000</v>
      </c>
      <c r="I20" s="212"/>
    </row>
    <row r="21" spans="1:9" ht="21.75" customHeight="1" x14ac:dyDescent="0.25">
      <c r="A21" s="212"/>
      <c r="B21" s="237"/>
      <c r="C21" s="212"/>
      <c r="D21" s="85" t="s">
        <v>33</v>
      </c>
      <c r="E21" s="88">
        <v>100000000</v>
      </c>
      <c r="F21" s="87"/>
      <c r="G21" s="235"/>
      <c r="H21" s="231"/>
      <c r="I21" s="212"/>
    </row>
    <row r="22" spans="1:9" ht="90" customHeight="1" x14ac:dyDescent="0.25">
      <c r="A22" s="90"/>
      <c r="B22" s="86" t="s">
        <v>135</v>
      </c>
      <c r="C22" s="91" t="s">
        <v>139</v>
      </c>
      <c r="D22" s="85"/>
      <c r="E22" s="88"/>
      <c r="F22" s="87"/>
      <c r="G22" s="93"/>
      <c r="H22" s="89">
        <v>130000000</v>
      </c>
    </row>
    <row r="23" spans="1:9" ht="109.5" customHeight="1" x14ac:dyDescent="0.25">
      <c r="A23" s="90"/>
      <c r="B23" s="86" t="s">
        <v>136</v>
      </c>
      <c r="C23" s="85" t="s">
        <v>140</v>
      </c>
      <c r="D23" s="85"/>
      <c r="E23" s="88"/>
      <c r="F23" s="87"/>
      <c r="G23" s="93"/>
      <c r="H23" s="89">
        <v>1478000000</v>
      </c>
    </row>
    <row r="24" spans="1:9" ht="107.25" customHeight="1" x14ac:dyDescent="0.25">
      <c r="A24" s="90"/>
      <c r="B24" s="86" t="s">
        <v>137</v>
      </c>
      <c r="C24" s="91" t="s">
        <v>141</v>
      </c>
      <c r="D24" s="85"/>
      <c r="E24" s="88"/>
      <c r="F24" s="87"/>
      <c r="G24" s="93"/>
      <c r="H24" s="87">
        <v>130000000</v>
      </c>
    </row>
    <row r="25" spans="1:9" ht="117.75" customHeight="1" x14ac:dyDescent="0.25">
      <c r="A25" s="90"/>
      <c r="B25" s="86" t="s">
        <v>138</v>
      </c>
      <c r="C25" s="91" t="s">
        <v>142</v>
      </c>
      <c r="D25" s="85"/>
      <c r="E25" s="88"/>
      <c r="F25" s="87"/>
      <c r="G25" s="93"/>
      <c r="H25" s="87">
        <v>1000000000</v>
      </c>
    </row>
    <row r="26" spans="1:9" ht="51.75" customHeight="1" x14ac:dyDescent="0.25">
      <c r="A26" s="90"/>
      <c r="B26" s="86" t="s">
        <v>143</v>
      </c>
      <c r="C26" s="91" t="s">
        <v>145</v>
      </c>
      <c r="D26" s="85"/>
      <c r="E26" s="88"/>
      <c r="F26" s="87"/>
      <c r="G26" s="93"/>
      <c r="H26" s="87">
        <v>60000000</v>
      </c>
    </row>
    <row r="27" spans="1:9" ht="41.25" customHeight="1" x14ac:dyDescent="0.25">
      <c r="A27" s="90"/>
      <c r="B27" s="86" t="s">
        <v>144</v>
      </c>
      <c r="C27" s="91" t="s">
        <v>146</v>
      </c>
      <c r="D27" s="85"/>
      <c r="E27" s="88"/>
      <c r="F27" s="87"/>
      <c r="G27" s="93"/>
      <c r="H27" s="87">
        <v>800000000</v>
      </c>
    </row>
    <row r="28" spans="1:9" ht="87.75" customHeight="1" x14ac:dyDescent="0.25">
      <c r="A28" s="90"/>
      <c r="B28" s="86" t="s">
        <v>148</v>
      </c>
      <c r="C28" s="91" t="s">
        <v>147</v>
      </c>
      <c r="D28" s="85"/>
      <c r="E28" s="88"/>
      <c r="F28" s="87"/>
      <c r="G28" s="93"/>
      <c r="H28" s="87">
        <v>5500000000</v>
      </c>
    </row>
    <row r="29" spans="1:9" ht="120.75" customHeight="1" x14ac:dyDescent="0.25">
      <c r="A29" s="90"/>
      <c r="B29" s="86" t="s">
        <v>149</v>
      </c>
      <c r="C29" s="91" t="s">
        <v>153</v>
      </c>
      <c r="D29" s="85"/>
      <c r="E29" s="88"/>
      <c r="F29" s="87"/>
      <c r="G29" s="93"/>
      <c r="H29" s="87">
        <v>231452800</v>
      </c>
    </row>
    <row r="30" spans="1:9" ht="110.25" customHeight="1" x14ac:dyDescent="0.25">
      <c r="A30" s="90"/>
      <c r="B30" s="86" t="s">
        <v>150</v>
      </c>
      <c r="C30" s="91" t="s">
        <v>154</v>
      </c>
      <c r="D30" s="85"/>
      <c r="E30" s="88"/>
      <c r="F30" s="87"/>
      <c r="G30" s="93"/>
      <c r="H30" s="87">
        <v>324142000</v>
      </c>
    </row>
    <row r="31" spans="1:9" ht="97.5" customHeight="1" x14ac:dyDescent="0.25">
      <c r="A31" s="90"/>
      <c r="B31" s="86" t="s">
        <v>151</v>
      </c>
      <c r="C31" s="91" t="s">
        <v>155</v>
      </c>
      <c r="D31" s="85"/>
      <c r="E31" s="88"/>
      <c r="F31" s="87"/>
      <c r="G31" s="93"/>
      <c r="H31" s="87">
        <v>34980000</v>
      </c>
    </row>
    <row r="32" spans="1:9" ht="117" customHeight="1" x14ac:dyDescent="0.25">
      <c r="A32" s="90"/>
      <c r="B32" s="86" t="s">
        <v>103</v>
      </c>
      <c r="C32" s="91" t="s">
        <v>156</v>
      </c>
      <c r="D32" s="85"/>
      <c r="E32" s="88"/>
      <c r="F32" s="87"/>
      <c r="G32" s="93"/>
      <c r="H32" s="87">
        <v>90200000</v>
      </c>
    </row>
    <row r="33" spans="1:9" ht="84.75" customHeight="1" x14ac:dyDescent="0.25">
      <c r="A33" s="90"/>
      <c r="B33" s="86" t="s">
        <v>152</v>
      </c>
      <c r="C33" s="91" t="s">
        <v>157</v>
      </c>
      <c r="D33" s="85"/>
      <c r="E33" s="88"/>
      <c r="F33" s="87"/>
      <c r="G33" s="93"/>
      <c r="H33" s="87">
        <v>61600000</v>
      </c>
    </row>
    <row r="34" spans="1:9" ht="111.75" customHeight="1" x14ac:dyDescent="0.25">
      <c r="A34" s="90"/>
      <c r="B34" s="86" t="s">
        <v>158</v>
      </c>
      <c r="C34" s="91" t="s">
        <v>161</v>
      </c>
      <c r="D34" s="85"/>
      <c r="E34" s="88"/>
      <c r="F34" s="87"/>
      <c r="G34" s="93"/>
      <c r="H34" s="96" t="s">
        <v>164</v>
      </c>
    </row>
    <row r="35" spans="1:9" ht="152.25" customHeight="1" x14ac:dyDescent="0.25">
      <c r="A35" s="90"/>
      <c r="B35" s="86" t="s">
        <v>159</v>
      </c>
      <c r="C35" s="91" t="s">
        <v>162</v>
      </c>
      <c r="D35" s="85"/>
      <c r="E35" s="88"/>
      <c r="F35" s="87"/>
      <c r="G35" s="93"/>
      <c r="H35" s="96" t="s">
        <v>165</v>
      </c>
    </row>
    <row r="36" spans="1:9" ht="111" customHeight="1" x14ac:dyDescent="0.25">
      <c r="A36" s="90"/>
      <c r="B36" s="86" t="s">
        <v>160</v>
      </c>
      <c r="C36" s="91" t="s">
        <v>163</v>
      </c>
      <c r="D36" s="85"/>
      <c r="E36" s="88"/>
      <c r="F36" s="87"/>
      <c r="G36" s="93"/>
      <c r="H36" s="95">
        <v>500000000</v>
      </c>
    </row>
    <row r="37" spans="1:9" ht="105" x14ac:dyDescent="0.25">
      <c r="A37" s="90"/>
      <c r="B37" s="86" t="s">
        <v>175</v>
      </c>
      <c r="C37" s="91" t="s">
        <v>181</v>
      </c>
      <c r="D37" s="90" t="s">
        <v>174</v>
      </c>
      <c r="E37" s="88"/>
      <c r="F37" s="87">
        <v>1800000000</v>
      </c>
      <c r="G37" s="93"/>
      <c r="H37" s="115">
        <f>+E37+F37+G37</f>
        <v>1800000000</v>
      </c>
    </row>
    <row r="38" spans="1:9" ht="148.5" customHeight="1" x14ac:dyDescent="0.25">
      <c r="A38" s="90"/>
      <c r="B38" s="86" t="s">
        <v>176</v>
      </c>
      <c r="C38" s="91" t="s">
        <v>182</v>
      </c>
      <c r="D38" s="90" t="s">
        <v>174</v>
      </c>
      <c r="E38" s="88"/>
      <c r="F38" s="87">
        <v>600000000</v>
      </c>
      <c r="G38" s="93"/>
      <c r="H38" s="115">
        <f t="shared" ref="H38:H42" si="0">+E38+F38+G38</f>
        <v>600000000</v>
      </c>
    </row>
    <row r="39" spans="1:9" ht="141.75" customHeight="1" x14ac:dyDescent="0.25">
      <c r="A39" s="90"/>
      <c r="B39" s="86" t="s">
        <v>177</v>
      </c>
      <c r="C39" s="91" t="s">
        <v>183</v>
      </c>
      <c r="D39" s="90" t="s">
        <v>174</v>
      </c>
      <c r="E39" s="88"/>
      <c r="F39" s="87">
        <v>600000000</v>
      </c>
      <c r="G39" s="93"/>
      <c r="H39" s="115">
        <f t="shared" si="0"/>
        <v>600000000</v>
      </c>
    </row>
    <row r="40" spans="1:9" ht="87.75" customHeight="1" x14ac:dyDescent="0.25">
      <c r="A40" s="90"/>
      <c r="B40" s="86" t="s">
        <v>178</v>
      </c>
      <c r="C40" s="91" t="s">
        <v>184</v>
      </c>
      <c r="D40" s="90" t="s">
        <v>174</v>
      </c>
      <c r="E40" s="88"/>
      <c r="F40" s="87">
        <v>608415328</v>
      </c>
      <c r="G40" s="93"/>
      <c r="H40" s="115">
        <f t="shared" si="0"/>
        <v>608415328</v>
      </c>
    </row>
    <row r="41" spans="1:9" ht="51.75" customHeight="1" x14ac:dyDescent="0.25">
      <c r="A41" s="90"/>
      <c r="B41" s="86" t="s">
        <v>179</v>
      </c>
      <c r="C41" s="91" t="s">
        <v>185</v>
      </c>
      <c r="D41" s="90" t="s">
        <v>174</v>
      </c>
      <c r="E41" s="88"/>
      <c r="F41" s="87">
        <v>500000000</v>
      </c>
      <c r="G41" s="93"/>
      <c r="H41" s="115">
        <f t="shared" si="0"/>
        <v>500000000</v>
      </c>
    </row>
    <row r="42" spans="1:9" ht="111" customHeight="1" x14ac:dyDescent="0.25">
      <c r="A42" s="90"/>
      <c r="B42" s="86" t="s">
        <v>180</v>
      </c>
      <c r="C42" s="91" t="s">
        <v>186</v>
      </c>
      <c r="D42" s="90" t="s">
        <v>174</v>
      </c>
      <c r="E42" s="88"/>
      <c r="F42" s="87">
        <v>200000000</v>
      </c>
      <c r="G42" s="93"/>
      <c r="H42" s="115">
        <f t="shared" si="0"/>
        <v>200000000</v>
      </c>
    </row>
    <row r="43" spans="1:9" ht="21.75" customHeight="1" x14ac:dyDescent="0.25">
      <c r="A43" s="79"/>
      <c r="B43" s="80"/>
      <c r="C43" s="79"/>
      <c r="D43" s="81"/>
      <c r="E43" s="82"/>
      <c r="G43" s="83"/>
      <c r="H43" s="84"/>
    </row>
    <row r="44" spans="1:9" x14ac:dyDescent="0.25">
      <c r="B44" s="54"/>
      <c r="E44" s="5"/>
      <c r="F44" s="5"/>
      <c r="G44" s="5"/>
      <c r="H44" s="55"/>
      <c r="I44" s="55"/>
    </row>
    <row r="45" spans="1:9" x14ac:dyDescent="0.25">
      <c r="B45" s="54"/>
      <c r="E45" s="5"/>
      <c r="F45" s="5"/>
      <c r="G45" s="5"/>
      <c r="H45" s="55"/>
      <c r="I45" s="55"/>
    </row>
    <row r="46" spans="1:9" x14ac:dyDescent="0.25">
      <c r="B46" s="54"/>
      <c r="C46" s="221" t="s">
        <v>170</v>
      </c>
      <c r="D46" s="222"/>
      <c r="E46" s="223"/>
    </row>
    <row r="47" spans="1:9" ht="30" customHeight="1" x14ac:dyDescent="0.25">
      <c r="C47" s="35" t="s">
        <v>66</v>
      </c>
      <c r="D47" s="36" t="s">
        <v>50</v>
      </c>
      <c r="E47" s="35" t="s">
        <v>51</v>
      </c>
      <c r="F47" s="35" t="s">
        <v>172</v>
      </c>
      <c r="G47" s="5"/>
    </row>
    <row r="48" spans="1:9" ht="15" customHeight="1" x14ac:dyDescent="0.25">
      <c r="B48" s="42" t="s">
        <v>167</v>
      </c>
      <c r="C48" s="47"/>
      <c r="D48" s="37">
        <f>+E11+E21</f>
        <v>600000000</v>
      </c>
      <c r="E48" s="38">
        <f>+F12+F14+F19+F20</f>
        <v>1000000000</v>
      </c>
      <c r="F48" s="39">
        <f>+F9</f>
        <v>773978940</v>
      </c>
      <c r="G48" s="5"/>
    </row>
    <row r="49" spans="2:9" ht="18.75" x14ac:dyDescent="0.25">
      <c r="B49" s="42" t="s">
        <v>168</v>
      </c>
      <c r="C49" s="41"/>
      <c r="D49" s="40"/>
      <c r="E49" s="47"/>
      <c r="F49" s="41">
        <f>+H8+F10</f>
        <v>570557490</v>
      </c>
      <c r="G49" s="5"/>
    </row>
    <row r="50" spans="2:9" ht="18.75" x14ac:dyDescent="0.25">
      <c r="B50" s="46" t="s">
        <v>64</v>
      </c>
      <c r="C50" s="47"/>
      <c r="D50" s="26" t="s">
        <v>173</v>
      </c>
      <c r="E50" s="47">
        <f>+F15</f>
        <v>28406800</v>
      </c>
      <c r="F50" s="47">
        <v>0</v>
      </c>
      <c r="G50" s="5"/>
    </row>
    <row r="51" spans="2:9" ht="18.75" x14ac:dyDescent="0.25">
      <c r="B51" s="46" t="s">
        <v>191</v>
      </c>
      <c r="C51" s="47"/>
      <c r="D51" s="26"/>
      <c r="E51" s="78">
        <f>SUM(F37:F42)</f>
        <v>4308415328</v>
      </c>
      <c r="F51" s="47">
        <f>+H4+H5+H6+H7</f>
        <v>5135966240.5100002</v>
      </c>
      <c r="G51" s="5"/>
    </row>
    <row r="52" spans="2:9" x14ac:dyDescent="0.25">
      <c r="G52" s="5"/>
      <c r="H52"/>
    </row>
    <row r="53" spans="2:9" ht="15" customHeight="1" x14ac:dyDescent="0.25">
      <c r="C53" s="218" t="s">
        <v>169</v>
      </c>
      <c r="D53" s="219"/>
      <c r="E53" s="219"/>
      <c r="F53" s="219"/>
      <c r="H53"/>
    </row>
    <row r="54" spans="2:9" x14ac:dyDescent="0.25">
      <c r="B54" s="6"/>
      <c r="C54" s="35" t="s">
        <v>193</v>
      </c>
      <c r="D54" s="5" t="s">
        <v>188</v>
      </c>
      <c r="E54" s="6" t="s">
        <v>189</v>
      </c>
      <c r="F54" s="35" t="s">
        <v>81</v>
      </c>
      <c r="G54" s="36" t="s">
        <v>50</v>
      </c>
      <c r="H54" s="35" t="s">
        <v>51</v>
      </c>
    </row>
    <row r="55" spans="2:9" ht="18.75" x14ac:dyDescent="0.25">
      <c r="B55" s="46" t="s">
        <v>171</v>
      </c>
      <c r="C55" s="47">
        <v>0</v>
      </c>
      <c r="F55" s="12"/>
      <c r="G55" s="37">
        <v>1221120000</v>
      </c>
      <c r="H55" s="38">
        <v>1680480000</v>
      </c>
      <c r="I55" s="117">
        <f>SUM(G55:H55)</f>
        <v>2901600000</v>
      </c>
    </row>
    <row r="56" spans="2:9" ht="18.75" x14ac:dyDescent="0.25">
      <c r="B56" s="42" t="s">
        <v>168</v>
      </c>
      <c r="C56" s="119">
        <f>+(781242*8000)*60%</f>
        <v>3749961600</v>
      </c>
      <c r="D56" s="119">
        <f>+(781242*8000)*20%</f>
        <v>1249987200</v>
      </c>
      <c r="F56" s="12"/>
      <c r="G56" s="40">
        <v>0</v>
      </c>
      <c r="H56" s="114"/>
      <c r="I56" s="118"/>
    </row>
    <row r="57" spans="2:9" ht="18.75" x14ac:dyDescent="0.25">
      <c r="B57" s="97" t="s">
        <v>64</v>
      </c>
      <c r="C57" s="47"/>
      <c r="F57" s="12"/>
      <c r="G57" s="26">
        <v>600000000</v>
      </c>
      <c r="H57" s="47">
        <v>490000000</v>
      </c>
      <c r="I57" s="6"/>
    </row>
    <row r="58" spans="2:9" ht="18.75" x14ac:dyDescent="0.25">
      <c r="B58" s="46" t="s">
        <v>166</v>
      </c>
      <c r="C58" s="114"/>
      <c r="F58" s="114">
        <v>1010922000</v>
      </c>
      <c r="G58" s="11"/>
      <c r="H58" s="11"/>
    </row>
    <row r="59" spans="2:9" ht="18.75" x14ac:dyDescent="0.25">
      <c r="B59" s="46" t="s">
        <v>190</v>
      </c>
      <c r="C59" s="114"/>
      <c r="F59" s="114"/>
      <c r="G59" s="11"/>
      <c r="H59" s="11"/>
    </row>
    <row r="60" spans="2:9" ht="18.75" x14ac:dyDescent="0.25">
      <c r="B60" s="46" t="s">
        <v>174</v>
      </c>
      <c r="C60" s="12"/>
      <c r="F60" s="12"/>
      <c r="G60" s="12"/>
      <c r="H60" s="11"/>
    </row>
    <row r="64" spans="2:9" x14ac:dyDescent="0.25">
      <c r="D64" s="5">
        <v>371000000</v>
      </c>
    </row>
  </sheetData>
  <mergeCells count="32">
    <mergeCell ref="I2:I3"/>
    <mergeCell ref="H2:H3"/>
    <mergeCell ref="C11:C12"/>
    <mergeCell ref="B11:B12"/>
    <mergeCell ref="A2:A3"/>
    <mergeCell ref="B2:B3"/>
    <mergeCell ref="C2:C3"/>
    <mergeCell ref="D2:D3"/>
    <mergeCell ref="E2:G2"/>
    <mergeCell ref="A11:A12"/>
    <mergeCell ref="C53:F53"/>
    <mergeCell ref="A1:I1"/>
    <mergeCell ref="C46:E46"/>
    <mergeCell ref="I9:I10"/>
    <mergeCell ref="G9:G10"/>
    <mergeCell ref="I13:I15"/>
    <mergeCell ref="I11:I12"/>
    <mergeCell ref="I20:I21"/>
    <mergeCell ref="H11:H12"/>
    <mergeCell ref="H20:H21"/>
    <mergeCell ref="H9:H10"/>
    <mergeCell ref="H13:H15"/>
    <mergeCell ref="G20:G21"/>
    <mergeCell ref="C20:C21"/>
    <mergeCell ref="B20:B21"/>
    <mergeCell ref="B13:B15"/>
    <mergeCell ref="A20:A21"/>
    <mergeCell ref="C9:C10"/>
    <mergeCell ref="A9:A10"/>
    <mergeCell ref="B9:B10"/>
    <mergeCell ref="A13:A15"/>
    <mergeCell ref="C13:C15"/>
  </mergeCells>
  <dataValidations count="1">
    <dataValidation type="decimal" allowBlank="1" showInputMessage="1" showErrorMessage="1" errorTitle="Fuentes de Financiación" error="Esta celda solo recibe numeros" promptTitle="Fuentes de Financiación" prompt="Ingresar el valor completo que aportara la fuente de financiación al proyecto en la vigencia 2015." sqref="E5:F5 F6 E7:G7">
      <formula1>0</formula1>
      <formula2>1000000000000</formula2>
    </dataValidation>
  </dataValidations>
  <printOptions horizontalCentered="1" verticalCentered="1"/>
  <pageMargins left="0.70866141732283472" right="0.70866141732283472" top="0.74803149606299213" bottom="0.74803149606299213" header="0.31496062992125984" footer="0.31496062992125984"/>
  <pageSetup scale="5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topLeftCell="A27" zoomScale="60" zoomScaleNormal="60" workbookViewId="0">
      <selection activeCell="B30" sqref="B30:L47"/>
    </sheetView>
  </sheetViews>
  <sheetFormatPr baseColWidth="10" defaultRowHeight="15" x14ac:dyDescent="0.25"/>
  <cols>
    <col min="1" max="1" width="8.42578125" style="81" customWidth="1"/>
    <col min="2" max="2" width="42.140625" style="81" customWidth="1"/>
    <col min="3" max="3" width="47.7109375" style="81" customWidth="1"/>
    <col min="4" max="4" width="32.85546875" style="81" customWidth="1"/>
    <col min="5" max="5" width="21.85546875" style="81" customWidth="1"/>
    <col min="6" max="6" width="22.42578125" style="128" customWidth="1"/>
    <col min="7" max="8" width="22.140625" style="128" customWidth="1"/>
    <col min="9" max="9" width="20.85546875" style="128" customWidth="1"/>
    <col min="10" max="10" width="28.42578125" style="81" customWidth="1"/>
    <col min="11" max="11" width="22.85546875" style="123" customWidth="1"/>
    <col min="12" max="12" width="20.42578125" style="123" customWidth="1"/>
    <col min="13" max="13" width="21.140625" style="123" customWidth="1"/>
    <col min="14" max="16384" width="11.42578125" style="123"/>
  </cols>
  <sheetData>
    <row r="1" spans="1:12" ht="28.5" x14ac:dyDescent="0.25">
      <c r="A1" s="264" t="s">
        <v>209</v>
      </c>
      <c r="B1" s="264"/>
      <c r="C1" s="264"/>
      <c r="D1" s="264"/>
      <c r="E1" s="264"/>
      <c r="F1" s="264"/>
      <c r="G1" s="264"/>
      <c r="H1" s="264"/>
      <c r="I1" s="264"/>
      <c r="J1" s="264"/>
      <c r="K1" s="264"/>
    </row>
    <row r="2" spans="1:12" ht="28.5" x14ac:dyDescent="0.25">
      <c r="A2" s="263" t="s">
        <v>200</v>
      </c>
      <c r="B2" s="263"/>
      <c r="C2" s="263"/>
      <c r="D2" s="263"/>
      <c r="E2" s="263"/>
      <c r="F2" s="263"/>
      <c r="G2" s="263"/>
      <c r="H2" s="263"/>
      <c r="I2" s="123"/>
      <c r="J2" s="123"/>
    </row>
    <row r="3" spans="1:12" ht="18.75" customHeight="1" x14ac:dyDescent="0.25">
      <c r="A3" s="130"/>
      <c r="B3" s="265" t="s">
        <v>201</v>
      </c>
      <c r="C3" s="265" t="s">
        <v>202</v>
      </c>
      <c r="D3" s="266" t="s">
        <v>203</v>
      </c>
      <c r="E3" s="267" t="s">
        <v>2</v>
      </c>
      <c r="F3" s="268"/>
      <c r="G3" s="269"/>
      <c r="H3" s="147"/>
      <c r="I3" s="123"/>
      <c r="J3" s="123"/>
    </row>
    <row r="4" spans="1:12" ht="32.25" customHeight="1" x14ac:dyDescent="0.25">
      <c r="A4" s="130"/>
      <c r="B4" s="265"/>
      <c r="C4" s="265"/>
      <c r="D4" s="266"/>
      <c r="E4" s="132" t="s">
        <v>204</v>
      </c>
      <c r="F4" s="133" t="s">
        <v>205</v>
      </c>
      <c r="G4" s="133" t="s">
        <v>206</v>
      </c>
      <c r="H4" s="131" t="s">
        <v>37</v>
      </c>
      <c r="I4" s="123"/>
      <c r="J4" s="123"/>
    </row>
    <row r="5" spans="1:12" ht="120" x14ac:dyDescent="0.25">
      <c r="A5" s="124"/>
      <c r="B5" s="125" t="s">
        <v>175</v>
      </c>
      <c r="C5" s="126" t="s">
        <v>181</v>
      </c>
      <c r="D5" s="124" t="s">
        <v>174</v>
      </c>
      <c r="E5" s="136">
        <v>1800000000</v>
      </c>
      <c r="F5" s="137">
        <v>0</v>
      </c>
      <c r="G5" s="137">
        <v>0</v>
      </c>
      <c r="H5" s="127">
        <f t="shared" ref="H5:H10" si="0">SUM(E5:G5)</f>
        <v>1800000000</v>
      </c>
      <c r="J5" s="123"/>
    </row>
    <row r="6" spans="1:12" ht="174" customHeight="1" x14ac:dyDescent="0.25">
      <c r="A6" s="124"/>
      <c r="B6" s="125" t="s">
        <v>176</v>
      </c>
      <c r="C6" s="126" t="s">
        <v>182</v>
      </c>
      <c r="D6" s="124" t="s">
        <v>174</v>
      </c>
      <c r="E6" s="134">
        <v>600000000</v>
      </c>
      <c r="F6" s="135">
        <v>0</v>
      </c>
      <c r="G6" s="137">
        <v>0</v>
      </c>
      <c r="H6" s="127">
        <f t="shared" si="0"/>
        <v>600000000</v>
      </c>
      <c r="J6" s="123"/>
    </row>
    <row r="7" spans="1:12" ht="159.75" customHeight="1" x14ac:dyDescent="0.25">
      <c r="A7" s="124"/>
      <c r="B7" s="125" t="s">
        <v>177</v>
      </c>
      <c r="C7" s="126" t="s">
        <v>183</v>
      </c>
      <c r="D7" s="124" t="s">
        <v>174</v>
      </c>
      <c r="E7" s="134">
        <v>600000000</v>
      </c>
      <c r="F7" s="135">
        <v>0</v>
      </c>
      <c r="G7" s="137">
        <v>0</v>
      </c>
      <c r="H7" s="127">
        <f t="shared" si="0"/>
        <v>600000000</v>
      </c>
      <c r="J7" s="123"/>
    </row>
    <row r="8" spans="1:12" ht="107.25" customHeight="1" x14ac:dyDescent="0.25">
      <c r="A8" s="124"/>
      <c r="B8" s="125" t="s">
        <v>178</v>
      </c>
      <c r="C8" s="126" t="s">
        <v>184</v>
      </c>
      <c r="D8" s="124" t="s">
        <v>174</v>
      </c>
      <c r="E8" s="135">
        <v>0</v>
      </c>
      <c r="F8" s="134">
        <v>608415328</v>
      </c>
      <c r="G8" s="135">
        <v>0</v>
      </c>
      <c r="H8" s="127">
        <f t="shared" si="0"/>
        <v>608415328</v>
      </c>
      <c r="J8" s="123"/>
    </row>
    <row r="9" spans="1:12" ht="51.75" customHeight="1" x14ac:dyDescent="0.25">
      <c r="A9" s="124"/>
      <c r="B9" s="125" t="s">
        <v>179</v>
      </c>
      <c r="C9" s="126" t="s">
        <v>185</v>
      </c>
      <c r="D9" s="124" t="s">
        <v>174</v>
      </c>
      <c r="E9" s="135">
        <v>0</v>
      </c>
      <c r="F9" s="135">
        <v>0</v>
      </c>
      <c r="G9" s="134">
        <v>500000000</v>
      </c>
      <c r="H9" s="127">
        <f t="shared" si="0"/>
        <v>500000000</v>
      </c>
      <c r="J9" s="123"/>
    </row>
    <row r="10" spans="1:12" ht="111" customHeight="1" x14ac:dyDescent="0.25">
      <c r="A10" s="138"/>
      <c r="B10" s="139" t="s">
        <v>180</v>
      </c>
      <c r="C10" s="140" t="s">
        <v>186</v>
      </c>
      <c r="D10" s="138" t="s">
        <v>174</v>
      </c>
      <c r="E10" s="141">
        <v>0</v>
      </c>
      <c r="F10" s="141">
        <v>0</v>
      </c>
      <c r="G10" s="142">
        <v>200000000</v>
      </c>
      <c r="H10" s="143">
        <f t="shared" si="0"/>
        <v>200000000</v>
      </c>
      <c r="J10" s="123"/>
    </row>
    <row r="11" spans="1:12" ht="28.5" x14ac:dyDescent="0.25">
      <c r="A11" s="263" t="s">
        <v>65</v>
      </c>
      <c r="B11" s="263"/>
      <c r="C11" s="263"/>
      <c r="D11" s="263"/>
      <c r="E11" s="263"/>
      <c r="F11" s="263"/>
      <c r="G11" s="263"/>
      <c r="H11" s="263"/>
      <c r="I11" s="263"/>
      <c r="J11" s="263"/>
      <c r="K11" s="263"/>
    </row>
    <row r="12" spans="1:12" ht="24" customHeight="1" x14ac:dyDescent="0.25">
      <c r="A12" s="244" t="s">
        <v>28</v>
      </c>
      <c r="B12" s="244" t="s">
        <v>23</v>
      </c>
      <c r="C12" s="244" t="s">
        <v>1</v>
      </c>
      <c r="D12" s="245" t="s">
        <v>27</v>
      </c>
      <c r="E12" s="244" t="s">
        <v>2</v>
      </c>
      <c r="F12" s="244"/>
      <c r="G12" s="244"/>
      <c r="H12" s="244"/>
      <c r="I12" s="244"/>
      <c r="J12" s="241" t="s">
        <v>37</v>
      </c>
      <c r="K12" s="241" t="s">
        <v>121</v>
      </c>
    </row>
    <row r="13" spans="1:12" ht="67.5" customHeight="1" x14ac:dyDescent="0.25">
      <c r="A13" s="244"/>
      <c r="B13" s="244"/>
      <c r="C13" s="244"/>
      <c r="D13" s="246"/>
      <c r="E13" s="116" t="s">
        <v>166</v>
      </c>
      <c r="F13" s="116" t="s">
        <v>34</v>
      </c>
      <c r="G13" s="116" t="s">
        <v>35</v>
      </c>
      <c r="H13" s="116" t="s">
        <v>214</v>
      </c>
      <c r="I13" s="116" t="s">
        <v>66</v>
      </c>
      <c r="J13" s="241"/>
      <c r="K13" s="241"/>
    </row>
    <row r="14" spans="1:12" ht="83.25" customHeight="1" x14ac:dyDescent="0.25">
      <c r="A14" s="104" t="s">
        <v>20</v>
      </c>
      <c r="B14" s="100" t="s">
        <v>7</v>
      </c>
      <c r="C14" s="101" t="s">
        <v>12</v>
      </c>
      <c r="D14" s="98" t="s">
        <v>123</v>
      </c>
      <c r="E14" s="98"/>
      <c r="F14" s="102">
        <v>150000000</v>
      </c>
      <c r="G14" s="102">
        <v>1199981145</v>
      </c>
      <c r="H14" s="102"/>
      <c r="I14" s="104"/>
      <c r="J14" s="151">
        <f>+F14+G14</f>
        <v>1349981145</v>
      </c>
      <c r="K14" s="98" t="s">
        <v>124</v>
      </c>
      <c r="L14" s="129"/>
    </row>
    <row r="15" spans="1:12" ht="72" customHeight="1" x14ac:dyDescent="0.25">
      <c r="A15" s="104" t="s">
        <v>19</v>
      </c>
      <c r="B15" s="100" t="s">
        <v>8</v>
      </c>
      <c r="C15" s="107" t="s">
        <v>127</v>
      </c>
      <c r="D15" s="98" t="s">
        <v>29</v>
      </c>
      <c r="E15" s="98"/>
      <c r="F15" s="102">
        <v>250000000</v>
      </c>
      <c r="G15" s="102">
        <v>399999802</v>
      </c>
      <c r="H15" s="102"/>
      <c r="I15" s="102"/>
      <c r="J15" s="151">
        <f>F15+G15</f>
        <v>649999802</v>
      </c>
      <c r="K15" s="104" t="s">
        <v>126</v>
      </c>
    </row>
    <row r="16" spans="1:12" ht="72.75" customHeight="1" x14ac:dyDescent="0.25">
      <c r="A16" s="253" t="s">
        <v>132</v>
      </c>
      <c r="B16" s="256" t="s">
        <v>90</v>
      </c>
      <c r="C16" s="251" t="s">
        <v>96</v>
      </c>
      <c r="D16" s="85" t="s">
        <v>36</v>
      </c>
      <c r="E16" s="85"/>
      <c r="F16" s="91"/>
      <c r="G16" s="87">
        <f>(737717*8000)*20%</f>
        <v>1180347200</v>
      </c>
      <c r="H16" s="87"/>
      <c r="I16" s="91"/>
      <c r="J16" s="260">
        <f>SUM(G16:G18)</f>
        <v>1408754000</v>
      </c>
      <c r="K16" s="250" t="s">
        <v>133</v>
      </c>
    </row>
    <row r="17" spans="1:12" ht="38.25" customHeight="1" x14ac:dyDescent="0.25">
      <c r="A17" s="255"/>
      <c r="B17" s="257"/>
      <c r="C17" s="259"/>
      <c r="D17" s="85" t="s">
        <v>33</v>
      </c>
      <c r="E17" s="253"/>
      <c r="F17" s="251"/>
      <c r="G17" s="87">
        <v>200000000</v>
      </c>
      <c r="H17" s="87"/>
      <c r="I17" s="91"/>
      <c r="J17" s="261"/>
      <c r="K17" s="250"/>
    </row>
    <row r="18" spans="1:12" ht="45" customHeight="1" x14ac:dyDescent="0.25">
      <c r="A18" s="254"/>
      <c r="B18" s="258"/>
      <c r="C18" s="252"/>
      <c r="D18" s="91" t="s">
        <v>95</v>
      </c>
      <c r="E18" s="254"/>
      <c r="F18" s="252"/>
      <c r="G18" s="87">
        <v>28406800</v>
      </c>
      <c r="H18" s="87"/>
      <c r="I18" s="91"/>
      <c r="J18" s="262"/>
      <c r="K18" s="250"/>
    </row>
    <row r="19" spans="1:12" ht="77.25" customHeight="1" x14ac:dyDescent="0.25">
      <c r="A19" s="85"/>
      <c r="B19" s="86" t="s">
        <v>60</v>
      </c>
      <c r="C19" s="85" t="s">
        <v>61</v>
      </c>
      <c r="D19" s="91" t="s">
        <v>215</v>
      </c>
      <c r="E19" s="85"/>
      <c r="F19" s="87">
        <v>0</v>
      </c>
      <c r="G19" s="85"/>
      <c r="H19" s="88">
        <v>15743000</v>
      </c>
      <c r="I19" s="88">
        <f>(781242*8000)*60%</f>
        <v>3749961600</v>
      </c>
      <c r="J19" s="150">
        <f>+H19+I19</f>
        <v>3765704600</v>
      </c>
      <c r="K19" s="122"/>
    </row>
    <row r="20" spans="1:12" ht="90" customHeight="1" x14ac:dyDescent="0.25">
      <c r="A20" s="85"/>
      <c r="B20" s="86" t="s">
        <v>63</v>
      </c>
      <c r="C20" s="85" t="s">
        <v>62</v>
      </c>
      <c r="D20" s="91" t="s">
        <v>215</v>
      </c>
      <c r="E20" s="85"/>
      <c r="F20" s="87">
        <v>0</v>
      </c>
      <c r="G20" s="87"/>
      <c r="H20" s="87">
        <v>21953320</v>
      </c>
      <c r="I20" s="87">
        <f>(781242*8000)*20%</f>
        <v>1249987200</v>
      </c>
      <c r="J20" s="150">
        <f>+H20+I20</f>
        <v>1271940520</v>
      </c>
      <c r="K20" s="122"/>
    </row>
    <row r="21" spans="1:12" ht="43.5" customHeight="1" x14ac:dyDescent="0.25">
      <c r="A21" s="85"/>
      <c r="B21" s="86" t="s">
        <v>194</v>
      </c>
      <c r="C21" s="85" t="s">
        <v>196</v>
      </c>
      <c r="D21" s="91" t="s">
        <v>36</v>
      </c>
      <c r="E21" s="91"/>
      <c r="F21" s="87"/>
      <c r="G21" s="87"/>
      <c r="H21" s="87"/>
      <c r="I21" s="87">
        <f>(781242*8000)*20%</f>
        <v>1249987200</v>
      </c>
      <c r="J21" s="150">
        <f>+F21+G21+I21</f>
        <v>1249987200</v>
      </c>
      <c r="K21" s="122"/>
    </row>
    <row r="22" spans="1:12" ht="229.5" customHeight="1" x14ac:dyDescent="0.25">
      <c r="A22" s="90"/>
      <c r="B22" s="86" t="s">
        <v>136</v>
      </c>
      <c r="C22" s="91" t="s">
        <v>195</v>
      </c>
      <c r="D22" s="85" t="s">
        <v>33</v>
      </c>
      <c r="E22" s="85"/>
      <c r="F22" s="88"/>
      <c r="G22" s="87">
        <v>900000000</v>
      </c>
      <c r="H22" s="87"/>
      <c r="I22" s="93"/>
      <c r="J22" s="89">
        <f>+G22</f>
        <v>900000000</v>
      </c>
      <c r="K22" s="144"/>
    </row>
    <row r="23" spans="1:12" ht="226.5" customHeight="1" x14ac:dyDescent="0.25">
      <c r="A23" s="90"/>
      <c r="B23" s="86" t="s">
        <v>138</v>
      </c>
      <c r="C23" s="91" t="s">
        <v>197</v>
      </c>
      <c r="D23" s="90" t="s">
        <v>33</v>
      </c>
      <c r="E23" s="85"/>
      <c r="F23" s="88"/>
      <c r="G23" s="87">
        <v>580480000</v>
      </c>
      <c r="H23" s="87"/>
      <c r="I23" s="93"/>
      <c r="J23" s="87">
        <f>+G23</f>
        <v>580480000</v>
      </c>
      <c r="K23" s="144"/>
    </row>
    <row r="24" spans="1:12" ht="59.25" customHeight="1" x14ac:dyDescent="0.25">
      <c r="A24" s="90"/>
      <c r="B24" s="86" t="s">
        <v>210</v>
      </c>
      <c r="C24" s="91" t="s">
        <v>224</v>
      </c>
      <c r="D24" s="121" t="s">
        <v>220</v>
      </c>
      <c r="E24" s="85"/>
      <c r="F24" s="88">
        <v>800000000</v>
      </c>
      <c r="G24" s="87"/>
      <c r="H24" s="87"/>
      <c r="I24" s="93"/>
      <c r="J24" s="87">
        <f>+F24</f>
        <v>800000000</v>
      </c>
      <c r="K24" s="144"/>
    </row>
    <row r="25" spans="1:12" ht="123.75" customHeight="1" x14ac:dyDescent="0.25">
      <c r="A25" s="86"/>
      <c r="B25" s="86" t="s">
        <v>223</v>
      </c>
      <c r="C25" s="121"/>
      <c r="D25" s="121" t="s">
        <v>225</v>
      </c>
      <c r="E25" s="88">
        <v>800000000</v>
      </c>
      <c r="F25" s="88">
        <v>400000000</v>
      </c>
      <c r="G25" s="87"/>
      <c r="H25" s="93"/>
      <c r="I25" s="165"/>
      <c r="J25" s="87">
        <f>+F25+G25+H25+I25</f>
        <v>400000000</v>
      </c>
      <c r="K25" s="166"/>
    </row>
    <row r="26" spans="1:12" ht="144.75" customHeight="1" x14ac:dyDescent="0.25">
      <c r="A26" s="90"/>
      <c r="B26" s="86" t="s">
        <v>211</v>
      </c>
      <c r="C26" s="91" t="s">
        <v>212</v>
      </c>
      <c r="D26" s="121" t="s">
        <v>226</v>
      </c>
      <c r="E26" s="85"/>
      <c r="F26" s="88">
        <v>5000000000</v>
      </c>
      <c r="G26" s="87"/>
      <c r="H26" s="87"/>
      <c r="I26" s="93"/>
      <c r="J26" s="88">
        <f>+F26</f>
        <v>5000000000</v>
      </c>
      <c r="K26" s="144"/>
    </row>
    <row r="27" spans="1:12" ht="87.75" customHeight="1" x14ac:dyDescent="0.25">
      <c r="A27" s="90"/>
      <c r="B27" s="86" t="s">
        <v>198</v>
      </c>
      <c r="C27" s="91" t="s">
        <v>199</v>
      </c>
      <c r="D27" s="121" t="s">
        <v>227</v>
      </c>
      <c r="E27" s="85"/>
      <c r="F27" s="88">
        <v>5500000000</v>
      </c>
      <c r="G27" s="87"/>
      <c r="H27" s="87"/>
      <c r="I27" s="93"/>
      <c r="J27" s="88">
        <f>+F27</f>
        <v>5500000000</v>
      </c>
      <c r="K27" s="144"/>
    </row>
    <row r="29" spans="1:12" x14ac:dyDescent="0.25">
      <c r="I29" s="81"/>
      <c r="J29" s="123"/>
    </row>
    <row r="30" spans="1:12" ht="15" customHeight="1" x14ac:dyDescent="0.25">
      <c r="C30" s="218" t="s">
        <v>169</v>
      </c>
      <c r="D30" s="219"/>
      <c r="E30" s="219"/>
      <c r="F30" s="219"/>
      <c r="G30" s="219"/>
      <c r="H30" s="219"/>
      <c r="I30" s="219"/>
      <c r="J30" s="219"/>
      <c r="K30" s="219"/>
      <c r="L30" s="219"/>
    </row>
    <row r="31" spans="1:12" ht="64.5" customHeight="1" x14ac:dyDescent="0.25">
      <c r="B31" s="128"/>
      <c r="C31" s="35" t="s">
        <v>193</v>
      </c>
      <c r="D31" s="35" t="s">
        <v>192</v>
      </c>
      <c r="E31" s="35" t="s">
        <v>213</v>
      </c>
      <c r="F31" s="35" t="s">
        <v>81</v>
      </c>
      <c r="G31" s="35" t="s">
        <v>221</v>
      </c>
      <c r="H31" s="36" t="s">
        <v>50</v>
      </c>
      <c r="I31" s="35" t="s">
        <v>69</v>
      </c>
      <c r="J31" s="35" t="s">
        <v>214</v>
      </c>
      <c r="K31" s="35" t="s">
        <v>208</v>
      </c>
      <c r="L31" s="35" t="s">
        <v>217</v>
      </c>
    </row>
    <row r="32" spans="1:12" ht="18.75" x14ac:dyDescent="0.25">
      <c r="B32" s="46" t="s">
        <v>171</v>
      </c>
      <c r="C32" s="47">
        <v>0</v>
      </c>
      <c r="D32" s="12"/>
      <c r="E32" s="11"/>
      <c r="F32" s="12"/>
      <c r="G32" s="73"/>
      <c r="H32" s="161">
        <v>1221120000</v>
      </c>
      <c r="I32" s="77">
        <v>1680480000</v>
      </c>
      <c r="J32" s="56"/>
      <c r="K32" s="145"/>
      <c r="L32" s="148"/>
    </row>
    <row r="33" spans="2:12" ht="18.75" x14ac:dyDescent="0.25">
      <c r="B33" s="42" t="s">
        <v>168</v>
      </c>
      <c r="C33" s="114">
        <f>+(781242*8000)*60%</f>
        <v>3749961600</v>
      </c>
      <c r="D33" s="114">
        <f>+(781242*8000)*20%</f>
        <v>1249987200</v>
      </c>
      <c r="E33" s="11"/>
      <c r="F33" s="12"/>
      <c r="G33" s="73"/>
      <c r="H33" s="162">
        <v>0</v>
      </c>
      <c r="I33" s="163">
        <f>+D33</f>
        <v>1249987200</v>
      </c>
      <c r="J33" s="56"/>
      <c r="K33" s="145"/>
      <c r="L33" s="57"/>
    </row>
    <row r="34" spans="2:12" ht="18.75" x14ac:dyDescent="0.25">
      <c r="B34" s="97" t="s">
        <v>64</v>
      </c>
      <c r="C34" s="47"/>
      <c r="D34" s="12"/>
      <c r="E34" s="11"/>
      <c r="F34" s="12"/>
      <c r="G34" s="73"/>
      <c r="H34" s="26">
        <v>600000000</v>
      </c>
      <c r="I34" s="47">
        <v>490000000</v>
      </c>
      <c r="J34" s="163">
        <v>4397156948</v>
      </c>
      <c r="K34" s="146">
        <v>7000000000</v>
      </c>
      <c r="L34" s="149">
        <v>2600000000</v>
      </c>
    </row>
    <row r="35" spans="2:12" ht="18.75" x14ac:dyDescent="0.25">
      <c r="B35" s="46" t="s">
        <v>166</v>
      </c>
      <c r="C35" s="114"/>
      <c r="D35" s="12"/>
      <c r="E35" s="11"/>
      <c r="F35" s="114">
        <v>1010922000</v>
      </c>
      <c r="G35" s="73"/>
      <c r="H35" s="11"/>
      <c r="I35" s="11"/>
      <c r="J35" s="56"/>
      <c r="K35" s="145"/>
      <c r="L35" s="145"/>
    </row>
    <row r="36" spans="2:12" ht="18.75" x14ac:dyDescent="0.25">
      <c r="B36" s="46" t="s">
        <v>190</v>
      </c>
      <c r="C36" s="114"/>
      <c r="D36" s="12"/>
      <c r="E36" s="114">
        <v>371000000</v>
      </c>
      <c r="F36" s="114"/>
      <c r="G36" s="73"/>
      <c r="H36" s="11"/>
      <c r="I36" s="11"/>
      <c r="J36" s="56"/>
      <c r="K36" s="145"/>
      <c r="L36" s="145"/>
    </row>
    <row r="37" spans="2:12" ht="18.75" x14ac:dyDescent="0.25">
      <c r="B37" s="46" t="s">
        <v>174</v>
      </c>
      <c r="C37" s="12"/>
      <c r="D37" s="12"/>
      <c r="E37" s="11"/>
      <c r="F37" s="12"/>
      <c r="G37" s="160">
        <f>SUM(H5:H10)</f>
        <v>4308415328</v>
      </c>
      <c r="H37" s="12"/>
      <c r="I37" s="158"/>
      <c r="J37" s="56"/>
      <c r="K37" s="145"/>
      <c r="L37" s="145"/>
    </row>
    <row r="40" spans="2:12" x14ac:dyDescent="0.25">
      <c r="C40" s="218" t="s">
        <v>222</v>
      </c>
      <c r="D40" s="219"/>
      <c r="E40" s="219"/>
      <c r="F40" s="219"/>
      <c r="G40" s="219"/>
      <c r="H40" s="219"/>
      <c r="I40" s="219"/>
      <c r="J40" s="219"/>
      <c r="K40" s="219"/>
      <c r="L40" s="219"/>
    </row>
    <row r="41" spans="2:12" ht="66" customHeight="1" x14ac:dyDescent="0.25">
      <c r="C41" s="35" t="s">
        <v>193</v>
      </c>
      <c r="D41" s="35" t="s">
        <v>192</v>
      </c>
      <c r="E41" s="35" t="s">
        <v>213</v>
      </c>
      <c r="F41" s="35" t="s">
        <v>81</v>
      </c>
      <c r="G41" s="159" t="s">
        <v>221</v>
      </c>
      <c r="H41" s="36" t="s">
        <v>50</v>
      </c>
      <c r="I41" s="35" t="s">
        <v>69</v>
      </c>
      <c r="J41" s="35" t="s">
        <v>214</v>
      </c>
      <c r="K41" s="35" t="s">
        <v>208</v>
      </c>
      <c r="L41" s="35" t="s">
        <v>217</v>
      </c>
    </row>
    <row r="42" spans="2:12" ht="18.75" x14ac:dyDescent="0.25">
      <c r="B42" s="46" t="s">
        <v>171</v>
      </c>
      <c r="C42" s="47">
        <v>0</v>
      </c>
      <c r="D42" s="12"/>
      <c r="E42" s="11"/>
      <c r="F42" s="12"/>
      <c r="G42" s="73"/>
      <c r="H42" s="161">
        <f>H32-F24-F25</f>
        <v>21120000</v>
      </c>
      <c r="I42" s="77">
        <f>I32-G17-G22-G23</f>
        <v>0</v>
      </c>
      <c r="J42" s="56"/>
      <c r="K42" s="145"/>
      <c r="L42" s="148"/>
    </row>
    <row r="43" spans="2:12" ht="18.75" x14ac:dyDescent="0.25">
      <c r="B43" s="42" t="s">
        <v>168</v>
      </c>
      <c r="C43" s="114">
        <f>+C33-I19</f>
        <v>0</v>
      </c>
      <c r="D43" s="114">
        <f>+D33-I20</f>
        <v>0</v>
      </c>
      <c r="E43" s="11"/>
      <c r="F43" s="12"/>
      <c r="G43" s="73"/>
      <c r="H43" s="40">
        <v>0</v>
      </c>
      <c r="I43" s="114">
        <f>+D43</f>
        <v>0</v>
      </c>
      <c r="J43" s="56"/>
      <c r="K43" s="145"/>
      <c r="L43" s="57"/>
    </row>
    <row r="44" spans="2:12" ht="18.75" x14ac:dyDescent="0.25">
      <c r="B44" s="97" t="s">
        <v>64</v>
      </c>
      <c r="C44" s="47"/>
      <c r="D44" s="12"/>
      <c r="E44" s="11"/>
      <c r="F44" s="12"/>
      <c r="G44" s="73"/>
      <c r="H44" s="26">
        <f>H34</f>
        <v>600000000</v>
      </c>
      <c r="I44" s="47">
        <f>I34-G18</f>
        <v>461593200</v>
      </c>
      <c r="J44" s="164">
        <f>J34-H19-H20</f>
        <v>4359460628</v>
      </c>
      <c r="K44" s="146">
        <f>K34-1500000000-F27</f>
        <v>0</v>
      </c>
      <c r="L44" s="149">
        <f>L34-2600000000</f>
        <v>0</v>
      </c>
    </row>
    <row r="45" spans="2:12" ht="18.75" x14ac:dyDescent="0.25">
      <c r="B45" s="46" t="s">
        <v>166</v>
      </c>
      <c r="C45" s="114"/>
      <c r="D45" s="12"/>
      <c r="E45" s="11"/>
      <c r="F45" s="114">
        <f>F35-[1]Hoja1!$D$3-[1]Hoja1!$D$4-[1]Hoja1!$D$5-[1]Hoja1!$D$6-[1]Hoja1!$D$7-[1]Hoja1!$D$8-[1]Hoja1!$D$9-[1]Hoja1!$D$10</f>
        <v>30316000</v>
      </c>
      <c r="G45" s="73"/>
      <c r="H45" s="11"/>
      <c r="I45" s="11"/>
      <c r="J45" s="56"/>
      <c r="K45" s="145"/>
      <c r="L45" s="145"/>
    </row>
    <row r="46" spans="2:12" ht="18.75" x14ac:dyDescent="0.25">
      <c r="B46" s="46" t="s">
        <v>190</v>
      </c>
      <c r="C46" s="114"/>
      <c r="D46" s="12"/>
      <c r="E46" s="114">
        <f>+E36</f>
        <v>371000000</v>
      </c>
      <c r="F46" s="114"/>
      <c r="G46" s="73"/>
      <c r="H46" s="11"/>
      <c r="I46" s="11"/>
      <c r="J46" s="56"/>
      <c r="K46" s="145"/>
      <c r="L46" s="145"/>
    </row>
    <row r="47" spans="2:12" ht="18.75" x14ac:dyDescent="0.25">
      <c r="B47" s="46" t="s">
        <v>174</v>
      </c>
      <c r="C47" s="12"/>
      <c r="D47" s="12"/>
      <c r="E47" s="11"/>
      <c r="F47" s="12"/>
      <c r="G47" s="160">
        <v>0</v>
      </c>
      <c r="H47" s="12"/>
      <c r="I47" s="158"/>
      <c r="J47" s="56"/>
      <c r="K47" s="145"/>
      <c r="L47" s="145"/>
    </row>
  </sheetData>
  <mergeCells count="23">
    <mergeCell ref="A2:H2"/>
    <mergeCell ref="A1:K1"/>
    <mergeCell ref="A12:A13"/>
    <mergeCell ref="B12:B13"/>
    <mergeCell ref="C12:C13"/>
    <mergeCell ref="D12:D13"/>
    <mergeCell ref="J12:J13"/>
    <mergeCell ref="K12:K13"/>
    <mergeCell ref="E12:I12"/>
    <mergeCell ref="B3:B4"/>
    <mergeCell ref="C3:C4"/>
    <mergeCell ref="D3:D4"/>
    <mergeCell ref="E3:G3"/>
    <mergeCell ref="A11:K11"/>
    <mergeCell ref="C40:L40"/>
    <mergeCell ref="K16:K18"/>
    <mergeCell ref="F17:F18"/>
    <mergeCell ref="E17:E18"/>
    <mergeCell ref="A16:A18"/>
    <mergeCell ref="B16:B18"/>
    <mergeCell ref="C16:C18"/>
    <mergeCell ref="J16:J18"/>
    <mergeCell ref="C30:L30"/>
  </mergeCells>
  <dataValidations count="1">
    <dataValidation type="decimal" allowBlank="1" showInputMessage="1" showErrorMessage="1" errorTitle="Fuentes de Financiación" error="Esta celda solo recibe numeros" promptTitle="Fuentes de Financiación" prompt="Ingresar el valor completo que aportara la fuente de financiación al proyecto en la vigencia 2015." sqref="F14:H14 F15:I15">
      <formula1>0</formula1>
      <formula2>1000000000000</formula2>
    </dataValidation>
  </dataValidations>
  <printOptions horizontalCentered="1" verticalCentered="1"/>
  <pageMargins left="0.70866141732283472" right="0.70866141732283472" top="0.74803149606299213" bottom="0.74803149606299213" header="0.31496062992125984" footer="0.31496062992125984"/>
  <pageSetup paperSize="258" scale="5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4"/>
  <sheetViews>
    <sheetView tabSelected="1" topLeftCell="A23" zoomScale="90" zoomScaleNormal="90" workbookViewId="0">
      <selection activeCell="D57" sqref="D57"/>
    </sheetView>
  </sheetViews>
  <sheetFormatPr baseColWidth="10" defaultRowHeight="12.75" x14ac:dyDescent="0.2"/>
  <cols>
    <col min="1" max="1" width="10.7109375" style="351" customWidth="1"/>
    <col min="2" max="2" width="42.140625" style="351" customWidth="1"/>
    <col min="3" max="3" width="41.85546875" style="351" customWidth="1"/>
    <col min="4" max="4" width="24.140625" style="351" customWidth="1"/>
    <col min="5" max="5" width="21.5703125" style="351" bestFit="1" customWidth="1"/>
    <col min="6" max="6" width="23.28515625" style="350" bestFit="1" customWidth="1"/>
    <col min="7" max="7" width="22.140625" style="350" bestFit="1" customWidth="1"/>
    <col min="8" max="8" width="21" style="350" bestFit="1" customWidth="1"/>
    <col min="9" max="9" width="20" style="350" customWidth="1"/>
    <col min="10" max="10" width="19.28515625" style="351" customWidth="1"/>
    <col min="11" max="11" width="22.5703125" style="352" customWidth="1"/>
    <col min="12" max="12" width="21.140625" style="352" customWidth="1"/>
    <col min="13" max="16384" width="11.42578125" style="352"/>
  </cols>
  <sheetData>
    <row r="1" spans="1:11" x14ac:dyDescent="0.2">
      <c r="A1" s="349" t="s">
        <v>265</v>
      </c>
      <c r="B1" s="349"/>
      <c r="C1" s="349"/>
      <c r="D1" s="349"/>
      <c r="E1" s="349"/>
      <c r="F1" s="349"/>
      <c r="G1" s="349"/>
      <c r="H1" s="349"/>
    </row>
    <row r="2" spans="1:11" x14ac:dyDescent="0.2">
      <c r="A2" s="353" t="s">
        <v>266</v>
      </c>
      <c r="B2" s="353"/>
      <c r="C2" s="353"/>
      <c r="D2" s="353"/>
      <c r="E2" s="353"/>
      <c r="F2" s="353"/>
      <c r="G2" s="353"/>
      <c r="H2" s="353"/>
      <c r="I2" s="354"/>
      <c r="J2" s="354"/>
      <c r="K2" s="354"/>
    </row>
    <row r="3" spans="1:11" x14ac:dyDescent="0.2">
      <c r="A3" s="355" t="s">
        <v>200</v>
      </c>
      <c r="B3" s="355"/>
      <c r="C3" s="355"/>
      <c r="D3" s="355"/>
      <c r="E3" s="355"/>
      <c r="F3" s="355"/>
      <c r="G3" s="355"/>
      <c r="H3" s="355"/>
      <c r="I3" s="352"/>
      <c r="J3" s="352"/>
    </row>
    <row r="4" spans="1:11" ht="18.75" customHeight="1" x14ac:dyDescent="0.2">
      <c r="A4" s="356"/>
      <c r="B4" s="355" t="s">
        <v>201</v>
      </c>
      <c r="C4" s="355" t="s">
        <v>202</v>
      </c>
      <c r="D4" s="357" t="s">
        <v>203</v>
      </c>
      <c r="E4" s="358" t="s">
        <v>2</v>
      </c>
      <c r="F4" s="359"/>
      <c r="G4" s="360"/>
      <c r="H4" s="361"/>
      <c r="I4" s="352"/>
      <c r="J4" s="352"/>
    </row>
    <row r="5" spans="1:11" ht="32.25" customHeight="1" x14ac:dyDescent="0.2">
      <c r="A5" s="356"/>
      <c r="B5" s="355"/>
      <c r="C5" s="355"/>
      <c r="D5" s="357"/>
      <c r="E5" s="362" t="s">
        <v>204</v>
      </c>
      <c r="F5" s="363" t="s">
        <v>205</v>
      </c>
      <c r="G5" s="363" t="s">
        <v>206</v>
      </c>
      <c r="H5" s="363" t="s">
        <v>37</v>
      </c>
      <c r="I5" s="352"/>
      <c r="J5" s="352"/>
    </row>
    <row r="6" spans="1:11" ht="152.25" customHeight="1" x14ac:dyDescent="0.2">
      <c r="A6" s="364" t="s">
        <v>245</v>
      </c>
      <c r="B6" s="339" t="s">
        <v>175</v>
      </c>
      <c r="C6" s="335" t="s">
        <v>181</v>
      </c>
      <c r="D6" s="364" t="s">
        <v>174</v>
      </c>
      <c r="E6" s="365">
        <v>1800000000</v>
      </c>
      <c r="F6" s="366">
        <v>0</v>
      </c>
      <c r="G6" s="366">
        <v>0</v>
      </c>
      <c r="H6" s="337">
        <f t="shared" ref="H6:H8" si="0">SUM(E6:G6)</f>
        <v>1800000000</v>
      </c>
      <c r="J6" s="352"/>
    </row>
    <row r="7" spans="1:11" ht="152.25" customHeight="1" x14ac:dyDescent="0.2">
      <c r="A7" s="364" t="s">
        <v>244</v>
      </c>
      <c r="B7" s="339" t="s">
        <v>176</v>
      </c>
      <c r="C7" s="335" t="s">
        <v>182</v>
      </c>
      <c r="D7" s="364" t="s">
        <v>174</v>
      </c>
      <c r="E7" s="367">
        <v>1200000000</v>
      </c>
      <c r="F7" s="368">
        <v>0</v>
      </c>
      <c r="G7" s="366">
        <v>0</v>
      </c>
      <c r="H7" s="337">
        <f t="shared" si="0"/>
        <v>1200000000</v>
      </c>
      <c r="J7" s="352"/>
    </row>
    <row r="8" spans="1:11" ht="119.25" customHeight="1" x14ac:dyDescent="0.2">
      <c r="A8" s="364" t="s">
        <v>242</v>
      </c>
      <c r="B8" s="339" t="s">
        <v>178</v>
      </c>
      <c r="C8" s="335" t="s">
        <v>184</v>
      </c>
      <c r="D8" s="364" t="s">
        <v>174</v>
      </c>
      <c r="E8" s="368">
        <v>0</v>
      </c>
      <c r="F8" s="367">
        <v>608415328</v>
      </c>
      <c r="G8" s="368">
        <v>0</v>
      </c>
      <c r="H8" s="337">
        <f t="shared" si="0"/>
        <v>608415328</v>
      </c>
      <c r="J8" s="352"/>
    </row>
    <row r="9" spans="1:11" ht="27" customHeight="1" thickBot="1" x14ac:dyDescent="0.25">
      <c r="A9" s="352"/>
      <c r="B9" s="352"/>
      <c r="C9" s="352"/>
      <c r="D9" s="352"/>
      <c r="E9" s="352"/>
      <c r="F9" s="352"/>
      <c r="G9" s="352"/>
      <c r="H9" s="352"/>
      <c r="I9" s="352"/>
      <c r="J9" s="352"/>
    </row>
    <row r="10" spans="1:11" x14ac:dyDescent="0.2">
      <c r="A10" s="369" t="s">
        <v>65</v>
      </c>
      <c r="B10" s="370"/>
      <c r="C10" s="370"/>
      <c r="D10" s="370"/>
      <c r="E10" s="370"/>
      <c r="F10" s="370"/>
      <c r="G10" s="370"/>
      <c r="H10" s="370"/>
      <c r="I10" s="370"/>
      <c r="J10" s="370"/>
      <c r="K10" s="371"/>
    </row>
    <row r="11" spans="1:11" ht="24" customHeight="1" x14ac:dyDescent="0.2">
      <c r="A11" s="372" t="s">
        <v>28</v>
      </c>
      <c r="B11" s="357" t="s">
        <v>23</v>
      </c>
      <c r="C11" s="357" t="s">
        <v>1</v>
      </c>
      <c r="D11" s="373" t="s">
        <v>27</v>
      </c>
      <c r="E11" s="357" t="s">
        <v>2</v>
      </c>
      <c r="F11" s="357"/>
      <c r="G11" s="357"/>
      <c r="H11" s="357"/>
      <c r="I11" s="357"/>
      <c r="J11" s="357"/>
      <c r="K11" s="374" t="s">
        <v>37</v>
      </c>
    </row>
    <row r="12" spans="1:11" ht="67.5" customHeight="1" x14ac:dyDescent="0.2">
      <c r="A12" s="372"/>
      <c r="B12" s="357"/>
      <c r="C12" s="357"/>
      <c r="D12" s="375"/>
      <c r="E12" s="376" t="s">
        <v>166</v>
      </c>
      <c r="F12" s="376" t="s">
        <v>34</v>
      </c>
      <c r="G12" s="376" t="s">
        <v>228</v>
      </c>
      <c r="H12" s="376" t="s">
        <v>214</v>
      </c>
      <c r="I12" s="376" t="s">
        <v>229</v>
      </c>
      <c r="J12" s="376" t="s">
        <v>66</v>
      </c>
      <c r="K12" s="377"/>
    </row>
    <row r="13" spans="1:11" ht="28.5" customHeight="1" x14ac:dyDescent="0.2">
      <c r="A13" s="378" t="s">
        <v>132</v>
      </c>
      <c r="B13" s="340" t="s">
        <v>267</v>
      </c>
      <c r="C13" s="341" t="s">
        <v>96</v>
      </c>
      <c r="D13" s="364" t="s">
        <v>36</v>
      </c>
      <c r="E13" s="346"/>
      <c r="F13" s="339"/>
      <c r="G13" s="367">
        <f>(737717*8000)*20%</f>
        <v>1180347200</v>
      </c>
      <c r="H13" s="367"/>
      <c r="I13" s="367"/>
      <c r="J13" s="339"/>
      <c r="K13" s="379">
        <f>SUM(G13:G15)</f>
        <v>1408754000</v>
      </c>
    </row>
    <row r="14" spans="1:11" ht="25.5" customHeight="1" x14ac:dyDescent="0.2">
      <c r="A14" s="380"/>
      <c r="B14" s="342"/>
      <c r="C14" s="343"/>
      <c r="D14" s="364" t="s">
        <v>251</v>
      </c>
      <c r="E14" s="381"/>
      <c r="F14" s="382"/>
      <c r="G14" s="367">
        <v>200000000</v>
      </c>
      <c r="H14" s="367"/>
      <c r="I14" s="367"/>
      <c r="J14" s="339"/>
      <c r="K14" s="379"/>
    </row>
    <row r="15" spans="1:11" ht="21.75" customHeight="1" x14ac:dyDescent="0.2">
      <c r="A15" s="383"/>
      <c r="B15" s="344"/>
      <c r="C15" s="345"/>
      <c r="D15" s="384" t="s">
        <v>64</v>
      </c>
      <c r="E15" s="385"/>
      <c r="F15" s="386"/>
      <c r="G15" s="367">
        <v>28406800</v>
      </c>
      <c r="H15" s="367"/>
      <c r="I15" s="367"/>
      <c r="J15" s="339"/>
      <c r="K15" s="379"/>
    </row>
    <row r="16" spans="1:11" ht="90" customHeight="1" x14ac:dyDescent="0.2">
      <c r="A16" s="387"/>
      <c r="B16" s="339" t="s">
        <v>63</v>
      </c>
      <c r="C16" s="346" t="s">
        <v>62</v>
      </c>
      <c r="D16" s="384" t="s">
        <v>215</v>
      </c>
      <c r="E16" s="346"/>
      <c r="F16" s="367">
        <v>0</v>
      </c>
      <c r="G16" s="367"/>
      <c r="H16" s="367">
        <v>21953320</v>
      </c>
      <c r="I16" s="367"/>
      <c r="J16" s="367">
        <f>(781242*8000)*20%</f>
        <v>1249987200</v>
      </c>
      <c r="K16" s="388">
        <f>+H16+J16</f>
        <v>1271940520</v>
      </c>
    </row>
    <row r="17" spans="1:12" ht="51" x14ac:dyDescent="0.2">
      <c r="A17" s="389" t="s">
        <v>241</v>
      </c>
      <c r="B17" s="335" t="s">
        <v>86</v>
      </c>
      <c r="C17" s="335" t="s">
        <v>233</v>
      </c>
      <c r="D17" s="336" t="s">
        <v>257</v>
      </c>
      <c r="E17" s="346"/>
      <c r="F17" s="339"/>
      <c r="G17" s="339"/>
      <c r="H17" s="339"/>
      <c r="I17" s="337">
        <v>500000000</v>
      </c>
      <c r="J17" s="346"/>
      <c r="K17" s="390">
        <f>+I17</f>
        <v>500000000</v>
      </c>
    </row>
    <row r="18" spans="1:12" ht="213" customHeight="1" x14ac:dyDescent="0.2">
      <c r="A18" s="389" t="s">
        <v>236</v>
      </c>
      <c r="B18" s="335" t="s">
        <v>235</v>
      </c>
      <c r="C18" s="335" t="s">
        <v>195</v>
      </c>
      <c r="D18" s="364" t="s">
        <v>252</v>
      </c>
      <c r="E18" s="346"/>
      <c r="F18" s="368"/>
      <c r="G18" s="367">
        <v>900000000</v>
      </c>
      <c r="H18" s="367"/>
      <c r="I18" s="367"/>
      <c r="J18" s="391"/>
      <c r="K18" s="388">
        <f>+G18</f>
        <v>900000000</v>
      </c>
    </row>
    <row r="19" spans="1:12" ht="95.25" customHeight="1" x14ac:dyDescent="0.2">
      <c r="A19" s="389" t="s">
        <v>238</v>
      </c>
      <c r="B19" s="338" t="s">
        <v>237</v>
      </c>
      <c r="C19" s="335" t="s">
        <v>154</v>
      </c>
      <c r="D19" s="336" t="s">
        <v>230</v>
      </c>
      <c r="E19" s="346"/>
      <c r="F19" s="339"/>
      <c r="G19" s="339"/>
      <c r="H19" s="339"/>
      <c r="I19" s="337">
        <v>115872000</v>
      </c>
      <c r="J19" s="346"/>
      <c r="K19" s="390">
        <f>+I19</f>
        <v>115872000</v>
      </c>
    </row>
    <row r="20" spans="1:12" ht="46.5" customHeight="1" x14ac:dyDescent="0.2">
      <c r="A20" s="389" t="s">
        <v>240</v>
      </c>
      <c r="B20" s="338" t="s">
        <v>239</v>
      </c>
      <c r="C20" s="335" t="s">
        <v>232</v>
      </c>
      <c r="D20" s="336" t="s">
        <v>231</v>
      </c>
      <c r="E20" s="346"/>
      <c r="F20" s="339"/>
      <c r="G20" s="339"/>
      <c r="H20" s="339"/>
      <c r="I20" s="337">
        <v>29104000</v>
      </c>
      <c r="J20" s="346"/>
      <c r="K20" s="390">
        <f>+I20</f>
        <v>29104000</v>
      </c>
    </row>
    <row r="21" spans="1:12" s="397" customFormat="1" ht="156.75" customHeight="1" x14ac:dyDescent="0.2">
      <c r="A21" s="392" t="s">
        <v>243</v>
      </c>
      <c r="B21" s="347" t="s">
        <v>264</v>
      </c>
      <c r="C21" s="348" t="s">
        <v>183</v>
      </c>
      <c r="D21" s="392" t="s">
        <v>263</v>
      </c>
      <c r="E21" s="393">
        <v>100000000</v>
      </c>
      <c r="F21" s="394">
        <v>0</v>
      </c>
      <c r="G21" s="395">
        <v>0</v>
      </c>
      <c r="H21" s="337">
        <f>SUM(E21:G21)</f>
        <v>100000000</v>
      </c>
      <c r="I21" s="347"/>
      <c r="J21" s="396"/>
      <c r="K21" s="396"/>
    </row>
    <row r="22" spans="1:12" ht="72.75" customHeight="1" x14ac:dyDescent="0.2">
      <c r="A22" s="398" t="s">
        <v>234</v>
      </c>
      <c r="B22" s="338" t="s">
        <v>256</v>
      </c>
      <c r="C22" s="335" t="s">
        <v>196</v>
      </c>
      <c r="D22" s="384" t="s">
        <v>36</v>
      </c>
      <c r="E22" s="339"/>
      <c r="F22" s="367"/>
      <c r="G22" s="367"/>
      <c r="H22" s="367"/>
      <c r="I22" s="367"/>
      <c r="J22" s="367">
        <f>(781242*8000)*20%</f>
        <v>1249987200</v>
      </c>
      <c r="K22" s="388">
        <f>+F22+G22+J22</f>
        <v>1249987200</v>
      </c>
    </row>
    <row r="23" spans="1:12" ht="125.25" customHeight="1" x14ac:dyDescent="0.2">
      <c r="A23" s="399" t="s">
        <v>246</v>
      </c>
      <c r="B23" s="338" t="s">
        <v>247</v>
      </c>
      <c r="C23" s="335" t="s">
        <v>268</v>
      </c>
      <c r="D23" s="336" t="s">
        <v>248</v>
      </c>
      <c r="E23" s="339"/>
      <c r="F23" s="367" t="s">
        <v>249</v>
      </c>
      <c r="G23" s="367"/>
      <c r="H23" s="367"/>
      <c r="I23" s="367"/>
      <c r="J23" s="367"/>
      <c r="K23" s="388">
        <v>830000000</v>
      </c>
    </row>
    <row r="24" spans="1:12" ht="207" customHeight="1" x14ac:dyDescent="0.2">
      <c r="A24" s="389" t="s">
        <v>250</v>
      </c>
      <c r="B24" s="338" t="s">
        <v>253</v>
      </c>
      <c r="C24" s="335" t="s">
        <v>269</v>
      </c>
      <c r="D24" s="364" t="s">
        <v>251</v>
      </c>
      <c r="E24" s="346"/>
      <c r="F24" s="368"/>
      <c r="G24" s="368">
        <v>580480000</v>
      </c>
      <c r="H24" s="367"/>
      <c r="I24" s="367"/>
      <c r="J24" s="391"/>
      <c r="K24" s="400">
        <f>+G24</f>
        <v>580480000</v>
      </c>
    </row>
    <row r="26" spans="1:12" x14ac:dyDescent="0.2">
      <c r="B26" s="351" t="s">
        <v>273</v>
      </c>
    </row>
    <row r="27" spans="1:12" hidden="1" x14ac:dyDescent="0.2">
      <c r="C27" s="355" t="s">
        <v>254</v>
      </c>
      <c r="D27" s="355"/>
      <c r="E27" s="355"/>
      <c r="F27" s="355"/>
      <c r="G27" s="355"/>
      <c r="H27" s="355"/>
      <c r="I27" s="355"/>
      <c r="J27" s="355"/>
      <c r="K27" s="355"/>
      <c r="L27" s="355"/>
    </row>
    <row r="28" spans="1:12" ht="60.75" hidden="1" customHeight="1" x14ac:dyDescent="0.2">
      <c r="B28" s="350"/>
      <c r="C28" s="362" t="s">
        <v>193</v>
      </c>
      <c r="D28" s="362" t="s">
        <v>192</v>
      </c>
      <c r="E28" s="362" t="s">
        <v>214</v>
      </c>
      <c r="F28" s="362" t="s">
        <v>213</v>
      </c>
      <c r="G28" s="362" t="s">
        <v>81</v>
      </c>
      <c r="H28" s="362" t="s">
        <v>221</v>
      </c>
      <c r="I28" s="363" t="s">
        <v>50</v>
      </c>
      <c r="J28" s="362" t="s">
        <v>69</v>
      </c>
      <c r="K28" s="362" t="s">
        <v>208</v>
      </c>
      <c r="L28" s="362" t="s">
        <v>217</v>
      </c>
    </row>
    <row r="29" spans="1:12" hidden="1" x14ac:dyDescent="0.2">
      <c r="B29" s="363" t="s">
        <v>171</v>
      </c>
      <c r="C29" s="401">
        <v>0</v>
      </c>
      <c r="D29" s="346"/>
      <c r="E29" s="346"/>
      <c r="F29" s="339"/>
      <c r="G29" s="346"/>
      <c r="H29" s="339"/>
      <c r="I29" s="402">
        <v>1221120000</v>
      </c>
      <c r="J29" s="368">
        <v>1680480000</v>
      </c>
      <c r="K29" s="403"/>
      <c r="L29" s="404"/>
    </row>
    <row r="30" spans="1:12" hidden="1" x14ac:dyDescent="0.2">
      <c r="B30" s="405" t="s">
        <v>168</v>
      </c>
      <c r="C30" s="406">
        <f>+(781242*8000)*60%</f>
        <v>3749961600</v>
      </c>
      <c r="D30" s="406">
        <f>+(781242*8000)*20%</f>
        <v>1249987200</v>
      </c>
      <c r="E30" s="346"/>
      <c r="F30" s="339"/>
      <c r="G30" s="346"/>
      <c r="H30" s="339"/>
      <c r="I30" s="407">
        <v>0</v>
      </c>
      <c r="J30" s="406">
        <f>+D30</f>
        <v>1249987200</v>
      </c>
      <c r="K30" s="403"/>
      <c r="L30" s="408"/>
    </row>
    <row r="31" spans="1:12" hidden="1" x14ac:dyDescent="0.2">
      <c r="B31" s="362" t="s">
        <v>64</v>
      </c>
      <c r="C31" s="401"/>
      <c r="D31" s="346"/>
      <c r="E31" s="406" t="e">
        <f>+#REF!+H16</f>
        <v>#REF!</v>
      </c>
      <c r="F31" s="339"/>
      <c r="G31" s="346"/>
      <c r="H31" s="339"/>
      <c r="I31" s="409">
        <v>1030000000</v>
      </c>
      <c r="J31" s="401">
        <v>490000000</v>
      </c>
      <c r="K31" s="410">
        <v>7000000000</v>
      </c>
      <c r="L31" s="411">
        <v>2624699759</v>
      </c>
    </row>
    <row r="32" spans="1:12" hidden="1" x14ac:dyDescent="0.2">
      <c r="B32" s="363" t="s">
        <v>166</v>
      </c>
      <c r="C32" s="406"/>
      <c r="D32" s="346"/>
      <c r="E32" s="346"/>
      <c r="F32" s="339"/>
      <c r="G32" s="406">
        <v>1010922000</v>
      </c>
      <c r="H32" s="339"/>
      <c r="I32" s="339"/>
      <c r="J32" s="339"/>
      <c r="K32" s="403"/>
      <c r="L32" s="403"/>
    </row>
    <row r="33" spans="2:12" hidden="1" x14ac:dyDescent="0.2">
      <c r="B33" s="363" t="s">
        <v>190</v>
      </c>
      <c r="C33" s="406"/>
      <c r="D33" s="346"/>
      <c r="E33" s="346"/>
      <c r="F33" s="406">
        <v>371000000</v>
      </c>
      <c r="G33" s="406"/>
      <c r="H33" s="339"/>
      <c r="I33" s="339"/>
      <c r="J33" s="339"/>
      <c r="K33" s="403"/>
      <c r="L33" s="403"/>
    </row>
    <row r="34" spans="2:12" hidden="1" x14ac:dyDescent="0.2">
      <c r="B34" s="363" t="s">
        <v>174</v>
      </c>
      <c r="C34" s="346"/>
      <c r="D34" s="346"/>
      <c r="E34" s="346"/>
      <c r="F34" s="339"/>
      <c r="G34" s="346"/>
      <c r="H34" s="412">
        <f>[2]txtx_010!$J$99</f>
        <v>6319086396</v>
      </c>
      <c r="I34" s="346"/>
      <c r="J34" s="412"/>
      <c r="K34" s="403"/>
      <c r="L34" s="403"/>
    </row>
    <row r="35" spans="2:12" hidden="1" x14ac:dyDescent="0.2"/>
    <row r="36" spans="2:12" hidden="1" x14ac:dyDescent="0.2"/>
    <row r="37" spans="2:12" hidden="1" x14ac:dyDescent="0.2">
      <c r="C37" s="355" t="s">
        <v>258</v>
      </c>
      <c r="D37" s="355"/>
      <c r="E37" s="355"/>
      <c r="F37" s="355"/>
      <c r="G37" s="355"/>
      <c r="H37" s="355"/>
      <c r="I37" s="355"/>
      <c r="J37" s="355"/>
      <c r="K37" s="355"/>
      <c r="L37" s="355"/>
    </row>
    <row r="38" spans="2:12" ht="63" hidden="1" customHeight="1" x14ac:dyDescent="0.2">
      <c r="C38" s="362" t="s">
        <v>193</v>
      </c>
      <c r="D38" s="362" t="s">
        <v>192</v>
      </c>
      <c r="E38" s="362" t="s">
        <v>214</v>
      </c>
      <c r="F38" s="362" t="s">
        <v>213</v>
      </c>
      <c r="G38" s="362" t="s">
        <v>81</v>
      </c>
      <c r="H38" s="384" t="s">
        <v>221</v>
      </c>
      <c r="I38" s="363" t="s">
        <v>50</v>
      </c>
      <c r="J38" s="362" t="s">
        <v>69</v>
      </c>
      <c r="K38" s="362" t="s">
        <v>208</v>
      </c>
      <c r="L38" s="362" t="s">
        <v>217</v>
      </c>
    </row>
    <row r="39" spans="2:12" hidden="1" x14ac:dyDescent="0.2">
      <c r="B39" s="363" t="s">
        <v>171</v>
      </c>
      <c r="C39" s="401">
        <v>0</v>
      </c>
      <c r="D39" s="346"/>
      <c r="E39" s="346"/>
      <c r="F39" s="339"/>
      <c r="G39" s="346"/>
      <c r="H39" s="339"/>
      <c r="I39" s="402" t="e">
        <f>I29-#REF!-400000000</f>
        <v>#REF!</v>
      </c>
      <c r="J39" s="413">
        <f>J29-G14-G18-G24</f>
        <v>0</v>
      </c>
      <c r="K39" s="403"/>
      <c r="L39" s="404"/>
    </row>
    <row r="40" spans="2:12" hidden="1" x14ac:dyDescent="0.2">
      <c r="B40" s="405" t="s">
        <v>168</v>
      </c>
      <c r="C40" s="414" t="e">
        <f>+C30-#REF!</f>
        <v>#REF!</v>
      </c>
      <c r="D40" s="414">
        <f>+D30-J16</f>
        <v>0</v>
      </c>
      <c r="E40" s="346"/>
      <c r="F40" s="339"/>
      <c r="G40" s="346"/>
      <c r="H40" s="339"/>
      <c r="I40" s="407">
        <v>0</v>
      </c>
      <c r="J40" s="414">
        <f>J30-J22</f>
        <v>0</v>
      </c>
      <c r="K40" s="403"/>
      <c r="L40" s="408"/>
    </row>
    <row r="41" spans="2:12" hidden="1" x14ac:dyDescent="0.2">
      <c r="B41" s="362" t="s">
        <v>64</v>
      </c>
      <c r="C41" s="401"/>
      <c r="D41" s="346"/>
      <c r="E41" s="415">
        <v>0</v>
      </c>
      <c r="F41" s="339"/>
      <c r="G41" s="346"/>
      <c r="H41" s="339"/>
      <c r="I41" s="416">
        <f>I31-430000000-800000000</f>
        <v>-200000000</v>
      </c>
      <c r="J41" s="401">
        <f>J31-G15</f>
        <v>461593200</v>
      </c>
      <c r="K41" s="414" t="e">
        <f>K31-#REF!-1500000000</f>
        <v>#REF!</v>
      </c>
      <c r="L41" s="411">
        <f>L31-2600000000</f>
        <v>24699759</v>
      </c>
    </row>
    <row r="42" spans="2:12" hidden="1" x14ac:dyDescent="0.2">
      <c r="B42" s="363" t="s">
        <v>166</v>
      </c>
      <c r="C42" s="406"/>
      <c r="D42" s="346"/>
      <c r="E42" s="346"/>
      <c r="F42" s="339"/>
      <c r="G42" s="406" t="e">
        <f>G32-#REF!-I17-I20-I19-#REF!</f>
        <v>#REF!</v>
      </c>
      <c r="H42" s="339"/>
      <c r="I42" s="339"/>
      <c r="J42" s="339"/>
      <c r="K42" s="403"/>
      <c r="L42" s="403"/>
    </row>
    <row r="43" spans="2:12" hidden="1" x14ac:dyDescent="0.2">
      <c r="B43" s="363" t="s">
        <v>190</v>
      </c>
      <c r="C43" s="406"/>
      <c r="D43" s="346"/>
      <c r="E43" s="346"/>
      <c r="F43" s="406">
        <f>+F33</f>
        <v>371000000</v>
      </c>
      <c r="G43" s="406"/>
      <c r="H43" s="339"/>
      <c r="I43" s="339"/>
      <c r="J43" s="339"/>
      <c r="K43" s="403"/>
      <c r="L43" s="403"/>
    </row>
    <row r="44" spans="2:12" hidden="1" x14ac:dyDescent="0.2">
      <c r="B44" s="363" t="s">
        <v>174</v>
      </c>
      <c r="C44" s="346"/>
      <c r="D44" s="346"/>
      <c r="E44" s="346"/>
      <c r="F44" s="339"/>
      <c r="G44" s="346"/>
      <c r="H44" s="412" t="e">
        <f>H34-H6-H7-H21-H8-#REF!-#REF!-#REF!-#REF!</f>
        <v>#REF!</v>
      </c>
      <c r="I44" s="346"/>
      <c r="J44" s="412"/>
      <c r="K44" s="403"/>
      <c r="L44" s="403"/>
    </row>
    <row r="45" spans="2:12" hidden="1" x14ac:dyDescent="0.2"/>
    <row r="46" spans="2:12" hidden="1" x14ac:dyDescent="0.2"/>
    <row r="47" spans="2:12" hidden="1" x14ac:dyDescent="0.2">
      <c r="B47" s="355" t="s">
        <v>259</v>
      </c>
      <c r="C47" s="355"/>
      <c r="E47" s="355" t="s">
        <v>262</v>
      </c>
      <c r="F47" s="355"/>
      <c r="G47" s="355"/>
    </row>
    <row r="48" spans="2:12" hidden="1" x14ac:dyDescent="0.2">
      <c r="B48" s="346" t="s">
        <v>270</v>
      </c>
      <c r="C48" s="417">
        <v>561220000</v>
      </c>
      <c r="E48" s="418" t="s">
        <v>270</v>
      </c>
      <c r="F48" s="419"/>
      <c r="G48" s="412">
        <f>+C48-I17-I20</f>
        <v>32116000</v>
      </c>
    </row>
    <row r="49" spans="2:7" hidden="1" x14ac:dyDescent="0.2">
      <c r="B49" s="346" t="s">
        <v>260</v>
      </c>
      <c r="C49" s="417">
        <v>414722000</v>
      </c>
      <c r="E49" s="418" t="s">
        <v>260</v>
      </c>
      <c r="F49" s="419"/>
      <c r="G49" s="420" t="e">
        <f>+C49-#REF!-I19-#REF!</f>
        <v>#REF!</v>
      </c>
    </row>
    <row r="50" spans="2:7" hidden="1" x14ac:dyDescent="0.2">
      <c r="B50" s="346" t="s">
        <v>271</v>
      </c>
      <c r="C50" s="417">
        <v>34980000</v>
      </c>
      <c r="E50" s="418" t="s">
        <v>271</v>
      </c>
      <c r="F50" s="419"/>
      <c r="G50" s="421">
        <f>+C50-0</f>
        <v>34980000</v>
      </c>
    </row>
    <row r="51" spans="2:7" hidden="1" x14ac:dyDescent="0.2">
      <c r="B51" s="363" t="s">
        <v>261</v>
      </c>
      <c r="C51" s="422">
        <f>SUM(C48:C50)</f>
        <v>1010922000</v>
      </c>
      <c r="E51" s="358" t="s">
        <v>261</v>
      </c>
      <c r="F51" s="360"/>
      <c r="G51" s="423" t="e">
        <f>SUM(G48:G50)</f>
        <v>#REF!</v>
      </c>
    </row>
    <row r="52" spans="2:7" x14ac:dyDescent="0.2">
      <c r="B52" s="351" t="s">
        <v>255</v>
      </c>
    </row>
    <row r="53" spans="2:7" x14ac:dyDescent="0.2">
      <c r="B53" s="351" t="s">
        <v>272</v>
      </c>
    </row>
    <row r="54" spans="2:7" x14ac:dyDescent="0.2">
      <c r="B54" s="424">
        <v>2018</v>
      </c>
    </row>
  </sheetData>
  <mergeCells count="27">
    <mergeCell ref="A1:H1"/>
    <mergeCell ref="A2:H2"/>
    <mergeCell ref="E51:F51"/>
    <mergeCell ref="B47:C47"/>
    <mergeCell ref="E47:G47"/>
    <mergeCell ref="E48:F48"/>
    <mergeCell ref="E49:F49"/>
    <mergeCell ref="E50:F50"/>
    <mergeCell ref="A13:A15"/>
    <mergeCell ref="B13:B15"/>
    <mergeCell ref="C13:C15"/>
    <mergeCell ref="E14:E15"/>
    <mergeCell ref="F14:F15"/>
    <mergeCell ref="A11:A12"/>
    <mergeCell ref="B11:B12"/>
    <mergeCell ref="C11:C12"/>
    <mergeCell ref="C27:L27"/>
    <mergeCell ref="C37:L37"/>
    <mergeCell ref="D11:D12"/>
    <mergeCell ref="E11:J11"/>
    <mergeCell ref="A3:H3"/>
    <mergeCell ref="B4:B5"/>
    <mergeCell ref="C4:C5"/>
    <mergeCell ref="D4:D5"/>
    <mergeCell ref="E4:G4"/>
    <mergeCell ref="A10:K10"/>
    <mergeCell ref="K11:K12"/>
  </mergeCells>
  <printOptions horizontalCentered="1" verticalCentered="1"/>
  <pageMargins left="0.70866141732283472" right="0.70866141732283472" top="0.74803149606299213" bottom="0.74803149606299213" header="0.31496062992125984" footer="0.31496062992125984"/>
  <pageSetup paperSize="258" scale="5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3"/>
  <sheetViews>
    <sheetView topLeftCell="A34" workbookViewId="0">
      <selection activeCell="B7" sqref="B7"/>
    </sheetView>
  </sheetViews>
  <sheetFormatPr baseColWidth="10" defaultRowHeight="15" x14ac:dyDescent="0.25"/>
  <cols>
    <col min="2" max="2" width="22.7109375" customWidth="1"/>
    <col min="3" max="3" width="24.42578125" customWidth="1"/>
    <col min="4" max="4" width="16.28515625" customWidth="1"/>
    <col min="6" max="6" width="19.7109375" customWidth="1"/>
    <col min="7" max="7" width="20.85546875" customWidth="1"/>
    <col min="8" max="8" width="18.140625" customWidth="1"/>
    <col min="9" max="9" width="17" customWidth="1"/>
    <col min="10" max="10" width="15.5703125" customWidth="1"/>
    <col min="11" max="11" width="20" customWidth="1"/>
    <col min="12" max="12" width="26.7109375" customWidth="1"/>
    <col min="14" max="14" width="11.42578125" customWidth="1"/>
  </cols>
  <sheetData>
    <row r="2" spans="1:12" ht="140.25" x14ac:dyDescent="0.25">
      <c r="A2" s="185" t="s">
        <v>242</v>
      </c>
      <c r="B2" s="186" t="s">
        <v>178</v>
      </c>
      <c r="C2" s="187" t="s">
        <v>184</v>
      </c>
      <c r="D2" s="185" t="s">
        <v>174</v>
      </c>
      <c r="E2" s="188">
        <v>0</v>
      </c>
      <c r="F2" s="189">
        <v>608415328</v>
      </c>
      <c r="G2" s="188">
        <v>0</v>
      </c>
      <c r="H2" s="190">
        <f t="shared" ref="H2" si="0">SUM(E2:G2)</f>
        <v>608415328</v>
      </c>
      <c r="L2" s="197">
        <f>H2/18</f>
        <v>33800851.555555552</v>
      </c>
    </row>
    <row r="3" spans="1:12" x14ac:dyDescent="0.25">
      <c r="A3" s="272" t="s">
        <v>132</v>
      </c>
      <c r="B3" s="275" t="s">
        <v>267</v>
      </c>
      <c r="C3" s="278" t="s">
        <v>96</v>
      </c>
      <c r="D3" s="185" t="s">
        <v>36</v>
      </c>
      <c r="E3" s="191"/>
      <c r="F3" s="192"/>
      <c r="G3" s="189">
        <f>(737717*8000)*20%</f>
        <v>1180347200</v>
      </c>
      <c r="H3" s="25"/>
      <c r="I3" s="25"/>
      <c r="J3" s="11"/>
      <c r="K3" s="168">
        <f>SUM(G3:G5)</f>
        <v>1408754000</v>
      </c>
      <c r="L3" s="198">
        <f>K3/10</f>
        <v>140875400</v>
      </c>
    </row>
    <row r="4" spans="1:12" x14ac:dyDescent="0.25">
      <c r="A4" s="273"/>
      <c r="B4" s="276"/>
      <c r="C4" s="279"/>
      <c r="D4" s="185" t="s">
        <v>251</v>
      </c>
      <c r="E4" s="281"/>
      <c r="F4" s="283"/>
      <c r="G4" s="189">
        <v>200000000</v>
      </c>
      <c r="H4" s="25"/>
      <c r="I4" s="25"/>
      <c r="J4" s="11"/>
      <c r="K4" s="168"/>
      <c r="L4" s="198">
        <f t="shared" ref="L4:L12" si="1">K4/10</f>
        <v>0</v>
      </c>
    </row>
    <row r="5" spans="1:12" ht="45" x14ac:dyDescent="0.25">
      <c r="A5" s="274"/>
      <c r="B5" s="277"/>
      <c r="C5" s="280"/>
      <c r="D5" s="193" t="s">
        <v>95</v>
      </c>
      <c r="E5" s="282"/>
      <c r="F5" s="284"/>
      <c r="G5" s="189">
        <v>28406800</v>
      </c>
      <c r="H5" s="25"/>
      <c r="I5" s="25"/>
      <c r="J5" s="11"/>
      <c r="K5" s="168"/>
      <c r="L5" s="198">
        <f t="shared" si="1"/>
        <v>0</v>
      </c>
    </row>
    <row r="6" spans="1:12" s="210" customFormat="1" ht="114.75" x14ac:dyDescent="0.25">
      <c r="A6" s="202" t="s">
        <v>241</v>
      </c>
      <c r="B6" s="203" t="s">
        <v>86</v>
      </c>
      <c r="C6" s="204" t="s">
        <v>233</v>
      </c>
      <c r="D6" s="205" t="s">
        <v>257</v>
      </c>
      <c r="E6" s="206"/>
      <c r="F6" s="207"/>
      <c r="G6" s="207"/>
      <c r="H6" s="207"/>
      <c r="I6" s="208">
        <v>500000000</v>
      </c>
      <c r="J6" s="206"/>
      <c r="K6" s="209">
        <f>+I6</f>
        <v>500000000</v>
      </c>
      <c r="L6" s="200">
        <f>K6/18</f>
        <v>27777777.777777776</v>
      </c>
    </row>
    <row r="7" spans="1:12" ht="306" x14ac:dyDescent="0.25">
      <c r="A7" s="170" t="s">
        <v>236</v>
      </c>
      <c r="B7" s="194" t="s">
        <v>235</v>
      </c>
      <c r="C7" s="187" t="s">
        <v>195</v>
      </c>
      <c r="D7" s="185" t="s">
        <v>252</v>
      </c>
      <c r="E7" s="191"/>
      <c r="F7" s="188"/>
      <c r="G7" s="189">
        <v>900000000</v>
      </c>
      <c r="H7" s="25"/>
      <c r="I7" s="25"/>
      <c r="J7" s="173"/>
      <c r="K7" s="174">
        <f>+G7</f>
        <v>900000000</v>
      </c>
      <c r="L7" s="198">
        <f t="shared" si="1"/>
        <v>90000000</v>
      </c>
    </row>
    <row r="8" spans="1:12" ht="178.5" x14ac:dyDescent="0.25">
      <c r="A8" s="170" t="s">
        <v>238</v>
      </c>
      <c r="B8" s="201" t="s">
        <v>237</v>
      </c>
      <c r="C8" s="187" t="s">
        <v>154</v>
      </c>
      <c r="D8" s="195" t="s">
        <v>230</v>
      </c>
      <c r="E8" s="191"/>
      <c r="F8" s="192"/>
      <c r="G8" s="192"/>
      <c r="H8" s="11"/>
      <c r="I8" s="171">
        <v>115872000</v>
      </c>
      <c r="J8" s="12"/>
      <c r="K8" s="172">
        <f>+I8</f>
        <v>115872000</v>
      </c>
      <c r="L8" s="200">
        <f>K8/18</f>
        <v>6437333.333333333</v>
      </c>
    </row>
    <row r="9" spans="1:12" ht="89.25" x14ac:dyDescent="0.25">
      <c r="A9" s="170" t="s">
        <v>240</v>
      </c>
      <c r="B9" s="196" t="s">
        <v>239</v>
      </c>
      <c r="C9" s="187" t="s">
        <v>232</v>
      </c>
      <c r="D9" s="195" t="s">
        <v>231</v>
      </c>
      <c r="E9" s="191"/>
      <c r="F9" s="192"/>
      <c r="G9" s="192"/>
      <c r="H9" s="11"/>
      <c r="I9" s="171">
        <v>29104000</v>
      </c>
      <c r="J9" s="12"/>
      <c r="K9" s="172">
        <f>+I9</f>
        <v>29104000</v>
      </c>
      <c r="L9" s="198">
        <f t="shared" si="1"/>
        <v>2910400</v>
      </c>
    </row>
    <row r="10" spans="1:12" ht="216.75" x14ac:dyDescent="0.25">
      <c r="A10" s="177" t="s">
        <v>243</v>
      </c>
      <c r="B10" s="178" t="s">
        <v>264</v>
      </c>
      <c r="C10" s="179" t="s">
        <v>183</v>
      </c>
      <c r="D10" s="177" t="s">
        <v>263</v>
      </c>
      <c r="E10" s="180">
        <v>100000000</v>
      </c>
      <c r="F10" s="181">
        <v>0</v>
      </c>
      <c r="G10" s="182">
        <v>0</v>
      </c>
      <c r="H10" s="167">
        <f>SUM(E10:G10)</f>
        <v>100000000</v>
      </c>
      <c r="I10" s="183"/>
      <c r="J10" s="184"/>
      <c r="K10" s="184"/>
      <c r="L10" s="211">
        <f t="shared" si="1"/>
        <v>0</v>
      </c>
    </row>
    <row r="11" spans="1:12" ht="153" x14ac:dyDescent="0.25">
      <c r="A11" s="175" t="s">
        <v>234</v>
      </c>
      <c r="B11" s="196" t="s">
        <v>256</v>
      </c>
      <c r="C11" s="187" t="s">
        <v>196</v>
      </c>
      <c r="D11" s="193" t="s">
        <v>36</v>
      </c>
      <c r="E11" s="192"/>
      <c r="F11" s="189"/>
      <c r="G11" s="189"/>
      <c r="H11" s="25"/>
      <c r="I11" s="25"/>
      <c r="J11" s="25">
        <f>(781242*8000)*20%</f>
        <v>1249987200</v>
      </c>
      <c r="K11" s="169">
        <f>+F11+G11+J11</f>
        <v>1249987200</v>
      </c>
      <c r="L11" s="198">
        <f>(K11/18)*50%</f>
        <v>34721866.666666664</v>
      </c>
    </row>
    <row r="12" spans="1:12" ht="178.5" x14ac:dyDescent="0.25">
      <c r="A12" s="176" t="s">
        <v>246</v>
      </c>
      <c r="B12" s="196" t="s">
        <v>247</v>
      </c>
      <c r="C12" s="187" t="s">
        <v>268</v>
      </c>
      <c r="D12" s="195" t="s">
        <v>248</v>
      </c>
      <c r="E12" s="192"/>
      <c r="F12" s="189" t="s">
        <v>249</v>
      </c>
      <c r="G12" s="189"/>
      <c r="H12" s="25"/>
      <c r="I12" s="25"/>
      <c r="J12" s="25"/>
      <c r="K12" s="169">
        <v>830000000</v>
      </c>
      <c r="L12" s="198">
        <f t="shared" si="1"/>
        <v>83000000</v>
      </c>
    </row>
    <row r="13" spans="1:12" x14ac:dyDescent="0.25">
      <c r="L13" s="199">
        <f>SUM(L2:L12)</f>
        <v>419523629.33333331</v>
      </c>
    </row>
  </sheetData>
  <mergeCells count="5">
    <mergeCell ref="A3:A5"/>
    <mergeCell ref="B3:B5"/>
    <mergeCell ref="C3:C5"/>
    <mergeCell ref="E4:E5"/>
    <mergeCell ref="F4:F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topLeftCell="A11" zoomScale="60" zoomScaleNormal="60" workbookViewId="0">
      <selection activeCell="K27" sqref="K27"/>
    </sheetView>
  </sheetViews>
  <sheetFormatPr baseColWidth="10" defaultRowHeight="15" x14ac:dyDescent="0.25"/>
  <cols>
    <col min="1" max="1" width="33.85546875" style="81" customWidth="1"/>
    <col min="2" max="2" width="34.140625" style="81" customWidth="1"/>
    <col min="3" max="3" width="28.42578125" style="81" customWidth="1"/>
    <col min="4" max="4" width="21.85546875" style="81" customWidth="1"/>
    <col min="5" max="5" width="22.42578125" style="128" customWidth="1"/>
    <col min="6" max="6" width="22.140625" style="128" customWidth="1"/>
    <col min="7" max="7" width="20.7109375" style="128" customWidth="1"/>
    <col min="8" max="8" width="20.85546875" style="128" customWidth="1"/>
    <col min="9" max="9" width="23.140625" style="81" customWidth="1"/>
    <col min="10" max="10" width="22.85546875" style="123" customWidth="1"/>
    <col min="11" max="11" width="20.42578125" style="123" customWidth="1"/>
    <col min="12" max="12" width="21.140625" style="123" customWidth="1"/>
    <col min="13" max="16384" width="11.42578125" style="123"/>
  </cols>
  <sheetData>
    <row r="1" spans="1:11" ht="32.25" x14ac:dyDescent="0.25">
      <c r="A1" s="288" t="s">
        <v>187</v>
      </c>
      <c r="B1" s="288"/>
      <c r="C1" s="288"/>
      <c r="D1" s="288"/>
      <c r="E1" s="288"/>
      <c r="F1" s="288"/>
      <c r="G1" s="288"/>
      <c r="H1" s="288"/>
      <c r="I1" s="288"/>
      <c r="J1" s="288"/>
    </row>
    <row r="2" spans="1:11" ht="28.5" x14ac:dyDescent="0.25">
      <c r="A2" s="289" t="s">
        <v>216</v>
      </c>
      <c r="B2" s="290"/>
      <c r="C2" s="290"/>
      <c r="D2" s="290"/>
      <c r="E2" s="290"/>
      <c r="F2" s="290"/>
      <c r="G2" s="290"/>
      <c r="H2" s="290"/>
      <c r="I2" s="290"/>
      <c r="J2" s="291"/>
    </row>
    <row r="3" spans="1:11" ht="24" customHeight="1" x14ac:dyDescent="0.25">
      <c r="A3" s="244" t="s">
        <v>23</v>
      </c>
      <c r="B3" s="244" t="s">
        <v>1</v>
      </c>
      <c r="C3" s="245" t="s">
        <v>27</v>
      </c>
      <c r="D3" s="244" t="s">
        <v>2</v>
      </c>
      <c r="E3" s="244"/>
      <c r="F3" s="244"/>
      <c r="G3" s="244"/>
      <c r="H3" s="244"/>
      <c r="I3" s="241" t="s">
        <v>37</v>
      </c>
      <c r="J3" s="241" t="s">
        <v>121</v>
      </c>
    </row>
    <row r="4" spans="1:11" ht="67.5" customHeight="1" x14ac:dyDescent="0.25">
      <c r="A4" s="244"/>
      <c r="B4" s="244"/>
      <c r="C4" s="246"/>
      <c r="D4" s="116" t="s">
        <v>166</v>
      </c>
      <c r="E4" s="116" t="s">
        <v>34</v>
      </c>
      <c r="F4" s="116" t="s">
        <v>35</v>
      </c>
      <c r="G4" s="116" t="s">
        <v>214</v>
      </c>
      <c r="H4" s="116" t="s">
        <v>66</v>
      </c>
      <c r="I4" s="241"/>
      <c r="J4" s="241"/>
    </row>
    <row r="5" spans="1:11" ht="77.25" customHeight="1" x14ac:dyDescent="0.25">
      <c r="A5" s="60" t="s">
        <v>60</v>
      </c>
      <c r="B5" s="61" t="s">
        <v>61</v>
      </c>
      <c r="C5" s="62" t="s">
        <v>215</v>
      </c>
      <c r="D5" s="61"/>
      <c r="E5" s="63">
        <v>0</v>
      </c>
      <c r="F5" s="61"/>
      <c r="G5" s="71">
        <v>15743000</v>
      </c>
      <c r="H5" s="71">
        <f>(781242*8000)*60%</f>
        <v>3749961600</v>
      </c>
      <c r="I5" s="156">
        <f>+G5+H5</f>
        <v>3765704600</v>
      </c>
      <c r="J5" s="285"/>
    </row>
    <row r="6" spans="1:11" ht="90" customHeight="1" x14ac:dyDescent="0.25">
      <c r="A6" s="60" t="s">
        <v>63</v>
      </c>
      <c r="B6" s="62" t="s">
        <v>62</v>
      </c>
      <c r="C6" s="62" t="s">
        <v>215</v>
      </c>
      <c r="D6" s="61"/>
      <c r="E6" s="63">
        <v>0</v>
      </c>
      <c r="F6" s="63"/>
      <c r="G6" s="63">
        <v>21953320</v>
      </c>
      <c r="H6" s="63">
        <f>(781242*8000)*20%</f>
        <v>1249987200</v>
      </c>
      <c r="I6" s="156">
        <f>+G6+H6</f>
        <v>1271940520</v>
      </c>
      <c r="J6" s="286"/>
    </row>
    <row r="7" spans="1:11" ht="123.75" customHeight="1" x14ac:dyDescent="0.25">
      <c r="A7" s="60" t="s">
        <v>210</v>
      </c>
      <c r="B7" s="62" t="s">
        <v>219</v>
      </c>
      <c r="C7" s="153" t="s">
        <v>220</v>
      </c>
      <c r="D7" s="61"/>
      <c r="E7" s="71">
        <v>800000000</v>
      </c>
      <c r="F7" s="63"/>
      <c r="G7" s="63"/>
      <c r="H7" s="152"/>
      <c r="I7" s="154">
        <f>+E7</f>
        <v>800000000</v>
      </c>
      <c r="J7" s="287"/>
    </row>
    <row r="8" spans="1:11" ht="123.75" customHeight="1" x14ac:dyDescent="0.25">
      <c r="A8" s="60" t="s">
        <v>223</v>
      </c>
      <c r="B8" s="62"/>
      <c r="C8" s="153" t="s">
        <v>225</v>
      </c>
      <c r="D8" s="61"/>
      <c r="E8" s="71">
        <v>800000000</v>
      </c>
      <c r="F8" s="63"/>
      <c r="G8" s="63"/>
      <c r="H8" s="152">
        <f>+E8</f>
        <v>800000000</v>
      </c>
      <c r="I8" s="154"/>
      <c r="J8" s="287"/>
    </row>
    <row r="9" spans="1:11" ht="144.75" customHeight="1" x14ac:dyDescent="0.25">
      <c r="A9" s="60" t="s">
        <v>211</v>
      </c>
      <c r="B9" s="62" t="s">
        <v>212</v>
      </c>
      <c r="C9" s="157" t="s">
        <v>218</v>
      </c>
      <c r="D9" s="61"/>
      <c r="E9" s="71">
        <v>4100000000</v>
      </c>
      <c r="F9" s="63"/>
      <c r="G9" s="63"/>
      <c r="H9" s="152"/>
      <c r="I9" s="154">
        <f>+E9</f>
        <v>4100000000</v>
      </c>
      <c r="J9" s="287"/>
    </row>
    <row r="10" spans="1:11" ht="87.75" customHeight="1" x14ac:dyDescent="0.25">
      <c r="A10" s="60" t="s">
        <v>198</v>
      </c>
      <c r="B10" s="62" t="s">
        <v>199</v>
      </c>
      <c r="C10" s="62" t="s">
        <v>207</v>
      </c>
      <c r="D10" s="61"/>
      <c r="E10" s="71">
        <v>5500000000</v>
      </c>
      <c r="F10" s="63"/>
      <c r="G10" s="63"/>
      <c r="H10" s="152"/>
      <c r="I10" s="154">
        <f>+E10</f>
        <v>5500000000</v>
      </c>
      <c r="J10" s="155"/>
    </row>
    <row r="12" spans="1:11" x14ac:dyDescent="0.25">
      <c r="H12" s="81"/>
      <c r="I12" s="123"/>
    </row>
    <row r="13" spans="1:11" ht="15" customHeight="1" x14ac:dyDescent="0.25">
      <c r="B13" s="218" t="s">
        <v>169</v>
      </c>
      <c r="C13" s="219"/>
      <c r="D13" s="219"/>
      <c r="E13" s="219"/>
      <c r="F13" s="219"/>
      <c r="G13" s="219"/>
      <c r="H13" s="219"/>
      <c r="I13" s="219"/>
      <c r="J13" s="219"/>
      <c r="K13" s="219"/>
    </row>
    <row r="14" spans="1:11" ht="64.5" customHeight="1" x14ac:dyDescent="0.25">
      <c r="A14" s="128"/>
      <c r="B14" s="35" t="s">
        <v>193</v>
      </c>
      <c r="C14" s="35" t="s">
        <v>192</v>
      </c>
      <c r="D14" s="35" t="s">
        <v>213</v>
      </c>
      <c r="E14" s="35" t="s">
        <v>81</v>
      </c>
      <c r="F14" s="159" t="s">
        <v>221</v>
      </c>
      <c r="G14" s="36" t="s">
        <v>50</v>
      </c>
      <c r="H14" s="35" t="s">
        <v>69</v>
      </c>
      <c r="I14" s="35" t="s">
        <v>214</v>
      </c>
      <c r="J14" s="35" t="s">
        <v>208</v>
      </c>
      <c r="K14" s="35" t="s">
        <v>217</v>
      </c>
    </row>
    <row r="15" spans="1:11" ht="18.75" x14ac:dyDescent="0.25">
      <c r="A15" s="46" t="s">
        <v>171</v>
      </c>
      <c r="B15" s="47">
        <v>0</v>
      </c>
      <c r="C15" s="12"/>
      <c r="D15" s="11"/>
      <c r="E15" s="12"/>
      <c r="F15" s="73"/>
      <c r="G15" s="161">
        <v>1221120000</v>
      </c>
      <c r="H15" s="77">
        <v>1680480000</v>
      </c>
      <c r="I15" s="56"/>
      <c r="J15" s="145"/>
      <c r="K15" s="148"/>
    </row>
    <row r="16" spans="1:11" ht="18.75" x14ac:dyDescent="0.25">
      <c r="A16" s="42" t="s">
        <v>168</v>
      </c>
      <c r="B16" s="114">
        <f>+(781242*8000)*60%</f>
        <v>3749961600</v>
      </c>
      <c r="C16" s="114">
        <f>+(781242*8000)*20%</f>
        <v>1249987200</v>
      </c>
      <c r="D16" s="11"/>
      <c r="E16" s="12"/>
      <c r="F16" s="73"/>
      <c r="G16" s="162">
        <v>0</v>
      </c>
      <c r="H16" s="163">
        <f>+C16</f>
        <v>1249987200</v>
      </c>
      <c r="I16" s="56"/>
      <c r="J16" s="145"/>
      <c r="K16" s="57"/>
    </row>
    <row r="17" spans="1:11" ht="18.75" x14ac:dyDescent="0.25">
      <c r="A17" s="97" t="s">
        <v>64</v>
      </c>
      <c r="B17" s="47"/>
      <c r="C17" s="12"/>
      <c r="D17" s="11"/>
      <c r="E17" s="12"/>
      <c r="F17" s="73"/>
      <c r="G17" s="26">
        <v>600000000</v>
      </c>
      <c r="H17" s="47">
        <v>490000000</v>
      </c>
      <c r="I17" s="163">
        <v>4397156948</v>
      </c>
      <c r="J17" s="146">
        <v>7000000000</v>
      </c>
      <c r="K17" s="149">
        <v>2600000000</v>
      </c>
    </row>
    <row r="18" spans="1:11" ht="18.75" x14ac:dyDescent="0.25">
      <c r="A18" s="46" t="s">
        <v>166</v>
      </c>
      <c r="B18" s="114"/>
      <c r="C18" s="12"/>
      <c r="D18" s="11"/>
      <c r="E18" s="114">
        <v>1010922000</v>
      </c>
      <c r="F18" s="73"/>
      <c r="G18" s="11"/>
      <c r="H18" s="11"/>
      <c r="I18" s="56"/>
      <c r="J18" s="145"/>
      <c r="K18" s="145"/>
    </row>
    <row r="19" spans="1:11" ht="18.75" x14ac:dyDescent="0.25">
      <c r="A19" s="46" t="s">
        <v>190</v>
      </c>
      <c r="B19" s="114"/>
      <c r="C19" s="12"/>
      <c r="D19" s="114">
        <v>371000000</v>
      </c>
      <c r="E19" s="114"/>
      <c r="F19" s="73"/>
      <c r="G19" s="11"/>
      <c r="H19" s="11"/>
      <c r="I19" s="56"/>
      <c r="J19" s="145"/>
      <c r="K19" s="145"/>
    </row>
    <row r="20" spans="1:11" ht="18.75" x14ac:dyDescent="0.25">
      <c r="A20" s="46" t="s">
        <v>174</v>
      </c>
      <c r="B20" s="12"/>
      <c r="C20" s="12"/>
      <c r="D20" s="11"/>
      <c r="E20" s="12"/>
      <c r="F20" s="160">
        <f>+'PLANIFICACION DEFINITIVA'!H5+'PLANIFICACION DEFINITIVA'!H6+'PLANIFICACION DEFINITIVA'!H7+'PLANIFICACION DEFINITIVA'!H8+'PLANIFICACION DEFINITIVA'!H9+'PLANIFICACION DEFINITIVA'!H10</f>
        <v>4308415328</v>
      </c>
      <c r="G20" s="12"/>
      <c r="H20" s="158"/>
      <c r="I20" s="56"/>
      <c r="J20" s="145"/>
      <c r="K20" s="145"/>
    </row>
    <row r="23" spans="1:11" x14ac:dyDescent="0.25">
      <c r="B23" s="218" t="s">
        <v>222</v>
      </c>
      <c r="C23" s="219"/>
      <c r="D23" s="219"/>
      <c r="E23" s="219"/>
      <c r="F23" s="219"/>
      <c r="G23" s="219"/>
      <c r="H23" s="219"/>
      <c r="I23" s="219"/>
      <c r="J23" s="219"/>
      <c r="K23" s="219"/>
    </row>
    <row r="24" spans="1:11" ht="82.5" customHeight="1" x14ac:dyDescent="0.25">
      <c r="A24" s="128"/>
      <c r="B24" s="35" t="s">
        <v>193</v>
      </c>
      <c r="C24" s="35" t="s">
        <v>192</v>
      </c>
      <c r="D24" s="35" t="s">
        <v>213</v>
      </c>
      <c r="E24" s="35" t="s">
        <v>81</v>
      </c>
      <c r="F24" s="159" t="s">
        <v>221</v>
      </c>
      <c r="G24" s="36" t="s">
        <v>50</v>
      </c>
      <c r="H24" s="35" t="s">
        <v>69</v>
      </c>
      <c r="I24" s="35" t="s">
        <v>214</v>
      </c>
      <c r="J24" s="35" t="s">
        <v>208</v>
      </c>
      <c r="K24" s="35" t="s">
        <v>217</v>
      </c>
    </row>
    <row r="25" spans="1:11" ht="18.75" x14ac:dyDescent="0.25">
      <c r="A25" s="46" t="s">
        <v>171</v>
      </c>
      <c r="B25" s="47">
        <v>0</v>
      </c>
      <c r="C25" s="12"/>
      <c r="D25" s="11"/>
      <c r="E25" s="12"/>
      <c r="F25" s="73"/>
      <c r="G25" s="161">
        <f>(G15-400000000-E8)</f>
        <v>21120000</v>
      </c>
      <c r="H25" s="77">
        <f>H15-'PLANIFICACION DEFINITIVA'!G17-'PLANIFICACION DEFINITIVA'!G22-'PLANIFICACION DEFINITIVA'!G23</f>
        <v>0</v>
      </c>
      <c r="I25" s="56"/>
      <c r="J25" s="145"/>
      <c r="K25" s="148"/>
    </row>
    <row r="26" spans="1:11" ht="18.75" x14ac:dyDescent="0.25">
      <c r="A26" s="42" t="s">
        <v>168</v>
      </c>
      <c r="B26" s="114">
        <f>+((781242*8000)*60%)-H5</f>
        <v>0</v>
      </c>
      <c r="C26" s="114">
        <f>+((781242*8000)*20%)-H6</f>
        <v>0</v>
      </c>
      <c r="D26" s="11"/>
      <c r="E26" s="12"/>
      <c r="F26" s="73"/>
      <c r="G26" s="40">
        <v>0</v>
      </c>
      <c r="H26" s="114">
        <f>+C26</f>
        <v>0</v>
      </c>
      <c r="I26" s="56"/>
      <c r="J26" s="145"/>
      <c r="K26" s="57"/>
    </row>
    <row r="27" spans="1:11" ht="18.75" x14ac:dyDescent="0.25">
      <c r="A27" s="97" t="s">
        <v>64</v>
      </c>
      <c r="B27" s="47"/>
      <c r="C27" s="12"/>
      <c r="D27" s="11"/>
      <c r="E27" s="12"/>
      <c r="F27" s="73"/>
      <c r="G27" s="26">
        <f>G17-400000000</f>
        <v>200000000</v>
      </c>
      <c r="H27" s="47">
        <f>+H17-'PLANIFICACION DEFINITIVA'!G18</f>
        <v>461593200</v>
      </c>
      <c r="I27" s="164">
        <f>+I17-G5-G6</f>
        <v>4359460628</v>
      </c>
      <c r="J27" s="146">
        <f>J17-1500000000-E10</f>
        <v>0</v>
      </c>
      <c r="K27" s="149">
        <f>K17-2600000000</f>
        <v>0</v>
      </c>
    </row>
    <row r="28" spans="1:11" ht="18.75" x14ac:dyDescent="0.25">
      <c r="A28" s="46" t="s">
        <v>166</v>
      </c>
      <c r="B28" s="114"/>
      <c r="C28" s="12"/>
      <c r="D28" s="11"/>
      <c r="E28" s="114">
        <f>E18-[1]Hoja1!$D$3-[1]Hoja1!$D$4-[1]Hoja1!$D$5-[1]Hoja1!$D$6-[1]Hoja1!$D$7-[1]Hoja1!$D$8-[1]Hoja1!$D$9-[1]Hoja1!$D$10</f>
        <v>30316000</v>
      </c>
      <c r="F28" s="73"/>
      <c r="G28" s="11"/>
      <c r="H28" s="11"/>
      <c r="I28" s="56"/>
      <c r="J28" s="145"/>
      <c r="K28" s="145"/>
    </row>
    <row r="29" spans="1:11" ht="18.75" x14ac:dyDescent="0.25">
      <c r="A29" s="46" t="s">
        <v>190</v>
      </c>
      <c r="B29" s="114"/>
      <c r="C29" s="12"/>
      <c r="D29" s="114">
        <f>+D19</f>
        <v>371000000</v>
      </c>
      <c r="E29" s="114"/>
      <c r="F29" s="73"/>
      <c r="G29" s="11"/>
      <c r="H29" s="11"/>
      <c r="I29" s="56"/>
      <c r="J29" s="145"/>
      <c r="K29" s="145"/>
    </row>
    <row r="30" spans="1:11" ht="18.75" x14ac:dyDescent="0.25">
      <c r="A30" s="46" t="s">
        <v>174</v>
      </c>
      <c r="B30" s="12"/>
      <c r="C30" s="12"/>
      <c r="D30" s="11"/>
      <c r="E30" s="12"/>
      <c r="F30" s="160">
        <v>0</v>
      </c>
      <c r="G30" s="12"/>
      <c r="H30" s="158"/>
      <c r="I30" s="56"/>
      <c r="J30" s="145"/>
      <c r="K30" s="145"/>
    </row>
  </sheetData>
  <mergeCells count="12">
    <mergeCell ref="B23:K23"/>
    <mergeCell ref="B13:K13"/>
    <mergeCell ref="J5:J6"/>
    <mergeCell ref="J7:J9"/>
    <mergeCell ref="A1:J1"/>
    <mergeCell ref="A2:J2"/>
    <mergeCell ref="A3:A4"/>
    <mergeCell ref="B3:B4"/>
    <mergeCell ref="C3:C4"/>
    <mergeCell ref="D3:H3"/>
    <mergeCell ref="I3:I4"/>
    <mergeCell ref="J3:J4"/>
  </mergeCells>
  <printOptions horizontalCentered="1" verticalCentered="1"/>
  <pageMargins left="0.70866141732283472" right="0.70866141732283472" top="0.35433070866141736" bottom="0.35433070866141736" header="0.31496062992125984" footer="0.31496062992125984"/>
  <pageSetup scale="45"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4"/>
  <sheetViews>
    <sheetView topLeftCell="B27" zoomScale="80" zoomScaleNormal="80" workbookViewId="0">
      <selection activeCell="D35" sqref="D35"/>
    </sheetView>
  </sheetViews>
  <sheetFormatPr baseColWidth="10" defaultRowHeight="15" x14ac:dyDescent="0.25"/>
  <cols>
    <col min="1" max="1" width="9.5703125" style="5" bestFit="1" customWidth="1"/>
    <col min="2" max="2" width="12" style="5" customWidth="1"/>
    <col min="3" max="3" width="30.42578125" style="5" customWidth="1"/>
    <col min="4" max="4" width="54" style="5" customWidth="1"/>
    <col min="5" max="5" width="19.42578125" style="5" bestFit="1" customWidth="1"/>
    <col min="6" max="6" width="19.140625" style="6" bestFit="1" customWidth="1"/>
    <col min="7" max="7" width="21" style="6" bestFit="1" customWidth="1"/>
    <col min="8" max="8" width="19" style="6" customWidth="1"/>
    <col min="9" max="9" width="22.28515625" style="5" bestFit="1" customWidth="1"/>
    <col min="10" max="10" width="19.42578125" bestFit="1" customWidth="1"/>
    <col min="11" max="11" width="14.85546875" customWidth="1"/>
  </cols>
  <sheetData>
    <row r="1" spans="1:11" ht="28.5" x14ac:dyDescent="0.25">
      <c r="A1" s="292" t="s">
        <v>26</v>
      </c>
      <c r="B1" s="292"/>
      <c r="C1" s="292"/>
      <c r="D1" s="292"/>
      <c r="E1" s="292"/>
      <c r="F1" s="292"/>
      <c r="G1" s="292"/>
      <c r="H1" s="292"/>
      <c r="I1" s="292"/>
      <c r="J1" s="292"/>
    </row>
    <row r="2" spans="1:11" ht="30" customHeight="1" x14ac:dyDescent="0.25">
      <c r="A2" s="244" t="s">
        <v>0</v>
      </c>
      <c r="B2" s="244" t="s">
        <v>28</v>
      </c>
      <c r="C2" s="244" t="s">
        <v>23</v>
      </c>
      <c r="D2" s="244" t="s">
        <v>1</v>
      </c>
      <c r="E2" s="245" t="s">
        <v>27</v>
      </c>
      <c r="F2" s="247" t="s">
        <v>2</v>
      </c>
      <c r="G2" s="248"/>
      <c r="H2" s="249"/>
      <c r="I2" s="244" t="s">
        <v>3</v>
      </c>
      <c r="J2" s="241" t="s">
        <v>37</v>
      </c>
    </row>
    <row r="3" spans="1:11" ht="30" x14ac:dyDescent="0.25">
      <c r="A3" s="244"/>
      <c r="B3" s="244"/>
      <c r="C3" s="244"/>
      <c r="D3" s="244"/>
      <c r="E3" s="246"/>
      <c r="F3" s="8" t="s">
        <v>34</v>
      </c>
      <c r="G3" s="8" t="s">
        <v>35</v>
      </c>
      <c r="H3" s="8" t="s">
        <v>36</v>
      </c>
      <c r="I3" s="244"/>
      <c r="J3" s="241"/>
    </row>
    <row r="4" spans="1:11" ht="51" x14ac:dyDescent="0.25">
      <c r="A4" s="10">
        <v>1</v>
      </c>
      <c r="B4" s="2" t="s">
        <v>22</v>
      </c>
      <c r="C4" s="45" t="s">
        <v>4</v>
      </c>
      <c r="D4" s="1" t="s">
        <v>14</v>
      </c>
      <c r="E4" s="10" t="s">
        <v>29</v>
      </c>
      <c r="F4" s="7">
        <v>1500000000</v>
      </c>
      <c r="G4" s="7">
        <v>400752369</v>
      </c>
      <c r="H4" s="7"/>
      <c r="I4" s="12" t="s">
        <v>17</v>
      </c>
      <c r="J4" s="33">
        <f t="shared" ref="J4:J9" si="0">F4+G4</f>
        <v>1900752369</v>
      </c>
      <c r="K4" s="34"/>
    </row>
    <row r="5" spans="1:11" ht="398.25" customHeight="1" x14ac:dyDescent="0.25">
      <c r="A5" s="10">
        <v>2</v>
      </c>
      <c r="B5" s="11" t="s">
        <v>16</v>
      </c>
      <c r="C5" s="45" t="s">
        <v>5</v>
      </c>
      <c r="D5" s="4" t="s">
        <v>10</v>
      </c>
      <c r="E5" s="10" t="s">
        <v>29</v>
      </c>
      <c r="F5" s="7">
        <v>0</v>
      </c>
      <c r="G5" s="7">
        <v>1300000000</v>
      </c>
      <c r="H5" s="7"/>
      <c r="I5" s="11" t="s">
        <v>24</v>
      </c>
      <c r="J5" s="18">
        <f t="shared" si="0"/>
        <v>1300000000</v>
      </c>
    </row>
    <row r="6" spans="1:11" ht="114.75" x14ac:dyDescent="0.25">
      <c r="A6" s="10">
        <v>3</v>
      </c>
      <c r="B6" s="11" t="s">
        <v>21</v>
      </c>
      <c r="C6" s="45" t="s">
        <v>6</v>
      </c>
      <c r="D6" s="4" t="s">
        <v>11</v>
      </c>
      <c r="E6" s="10" t="s">
        <v>29</v>
      </c>
      <c r="F6" s="7">
        <v>0</v>
      </c>
      <c r="G6" s="7">
        <v>1800000000</v>
      </c>
      <c r="H6" s="7"/>
      <c r="I6" s="13" t="s">
        <v>25</v>
      </c>
      <c r="J6" s="18">
        <f t="shared" si="0"/>
        <v>1800000000</v>
      </c>
    </row>
    <row r="7" spans="1:11" ht="63.75" x14ac:dyDescent="0.25">
      <c r="A7" s="10">
        <v>4</v>
      </c>
      <c r="B7" s="11" t="s">
        <v>20</v>
      </c>
      <c r="C7" s="45" t="s">
        <v>7</v>
      </c>
      <c r="D7" s="1" t="s">
        <v>12</v>
      </c>
      <c r="E7" s="10" t="s">
        <v>29</v>
      </c>
      <c r="F7" s="7">
        <v>150000000</v>
      </c>
      <c r="G7" s="7">
        <v>1200000000</v>
      </c>
      <c r="H7" s="7"/>
      <c r="I7" s="12" t="s">
        <v>17</v>
      </c>
      <c r="J7" s="18">
        <f t="shared" si="0"/>
        <v>1350000000</v>
      </c>
    </row>
    <row r="8" spans="1:11" ht="72" customHeight="1" x14ac:dyDescent="0.25">
      <c r="A8" s="10">
        <v>5</v>
      </c>
      <c r="B8" s="11" t="s">
        <v>19</v>
      </c>
      <c r="C8" s="45" t="s">
        <v>8</v>
      </c>
      <c r="D8" s="3" t="s">
        <v>13</v>
      </c>
      <c r="E8" s="10" t="s">
        <v>29</v>
      </c>
      <c r="F8" s="7">
        <v>250000000</v>
      </c>
      <c r="G8" s="7">
        <v>400000000</v>
      </c>
      <c r="H8" s="7"/>
      <c r="I8" s="12" t="s">
        <v>17</v>
      </c>
      <c r="J8" s="18">
        <f t="shared" si="0"/>
        <v>650000000</v>
      </c>
    </row>
    <row r="9" spans="1:11" ht="120" x14ac:dyDescent="0.25">
      <c r="A9" s="10">
        <v>6</v>
      </c>
      <c r="B9" s="11" t="s">
        <v>18</v>
      </c>
      <c r="C9" s="45" t="s">
        <v>9</v>
      </c>
      <c r="D9" s="4" t="s">
        <v>15</v>
      </c>
      <c r="E9" s="10" t="s">
        <v>29</v>
      </c>
      <c r="F9" s="7">
        <v>33000000</v>
      </c>
      <c r="G9" s="7">
        <v>1000000000</v>
      </c>
      <c r="H9" s="7"/>
      <c r="I9" s="12" t="s">
        <v>17</v>
      </c>
      <c r="J9" s="18">
        <f t="shared" si="0"/>
        <v>1033000000</v>
      </c>
    </row>
    <row r="10" spans="1:11" x14ac:dyDescent="0.25">
      <c r="D10" s="270" t="s">
        <v>52</v>
      </c>
      <c r="E10" s="270"/>
      <c r="F10" s="14">
        <f>SUM(F4:F9)</f>
        <v>1933000000</v>
      </c>
      <c r="G10" s="15">
        <f>SUM(G4:G9)</f>
        <v>6100752369</v>
      </c>
      <c r="H10" s="15"/>
      <c r="I10" s="9">
        <f>SUM(F10+G10)</f>
        <v>8033752369</v>
      </c>
    </row>
    <row r="11" spans="1:11" x14ac:dyDescent="0.25">
      <c r="D11" s="20"/>
      <c r="E11" s="20"/>
      <c r="F11" s="22"/>
      <c r="G11" s="23"/>
      <c r="H11" s="23"/>
      <c r="I11" s="24"/>
    </row>
    <row r="12" spans="1:11" x14ac:dyDescent="0.25">
      <c r="D12" s="20"/>
      <c r="E12" s="20"/>
      <c r="F12" s="22"/>
      <c r="G12" s="23"/>
      <c r="H12" s="23"/>
      <c r="I12" s="24"/>
    </row>
    <row r="13" spans="1:11" x14ac:dyDescent="0.25">
      <c r="D13" s="20"/>
      <c r="E13" s="20"/>
      <c r="F13" s="22"/>
      <c r="G13" s="23"/>
      <c r="H13" s="23"/>
      <c r="I13" s="24"/>
    </row>
    <row r="14" spans="1:11" x14ac:dyDescent="0.25">
      <c r="D14" s="20"/>
      <c r="E14" s="20"/>
      <c r="F14" s="22"/>
      <c r="G14" s="23"/>
      <c r="H14" s="23"/>
      <c r="I14" s="24"/>
    </row>
    <row r="15" spans="1:11" x14ac:dyDescent="0.25">
      <c r="D15" s="20"/>
      <c r="E15" s="20"/>
      <c r="F15" s="22"/>
      <c r="G15" s="23"/>
      <c r="H15" s="23"/>
      <c r="I15" s="24"/>
    </row>
    <row r="16" spans="1:11" x14ac:dyDescent="0.25">
      <c r="D16" s="20"/>
      <c r="E16" s="20"/>
      <c r="F16" s="22"/>
      <c r="G16" s="23"/>
      <c r="H16" s="23"/>
      <c r="I16" s="24"/>
    </row>
    <row r="17" spans="1:10" x14ac:dyDescent="0.25">
      <c r="D17" s="20"/>
      <c r="E17" s="20"/>
      <c r="F17" s="22"/>
      <c r="G17" s="23"/>
      <c r="H17" s="23"/>
      <c r="I17" s="24"/>
    </row>
    <row r="18" spans="1:10" ht="23.25" x14ac:dyDescent="0.25">
      <c r="A18" s="293" t="s">
        <v>65</v>
      </c>
      <c r="B18" s="293"/>
      <c r="C18" s="293"/>
      <c r="D18" s="293"/>
      <c r="E18" s="293"/>
      <c r="F18" s="293"/>
      <c r="G18" s="293"/>
      <c r="H18" s="293"/>
      <c r="I18" s="293"/>
      <c r="J18" s="293"/>
    </row>
    <row r="19" spans="1:10" ht="17.25" customHeight="1" x14ac:dyDescent="0.25">
      <c r="A19" s="294">
        <v>7</v>
      </c>
      <c r="B19" s="295" t="s">
        <v>31</v>
      </c>
      <c r="C19" s="296" t="s">
        <v>30</v>
      </c>
      <c r="D19" s="294" t="s">
        <v>32</v>
      </c>
      <c r="E19" s="12" t="s">
        <v>33</v>
      </c>
      <c r="F19" s="27">
        <v>408000000</v>
      </c>
      <c r="G19" s="16"/>
      <c r="H19" s="16"/>
      <c r="I19" s="17"/>
      <c r="J19" s="297">
        <f>SUM(F19+G20)</f>
        <v>800000000</v>
      </c>
    </row>
    <row r="20" spans="1:10" ht="71.25" customHeight="1" x14ac:dyDescent="0.25">
      <c r="A20" s="294"/>
      <c r="B20" s="295"/>
      <c r="C20" s="296"/>
      <c r="D20" s="294"/>
      <c r="E20" s="12" t="s">
        <v>36</v>
      </c>
      <c r="F20" s="16"/>
      <c r="G20" s="28">
        <v>392000000</v>
      </c>
      <c r="H20" s="28"/>
      <c r="I20" s="17"/>
      <c r="J20" s="297"/>
    </row>
    <row r="21" spans="1:10" ht="45" customHeight="1" x14ac:dyDescent="0.25">
      <c r="A21" s="301">
        <v>8</v>
      </c>
      <c r="B21" s="301" t="s">
        <v>41</v>
      </c>
      <c r="C21" s="302" t="s">
        <v>43</v>
      </c>
      <c r="D21" s="301" t="s">
        <v>42</v>
      </c>
      <c r="E21" s="19" t="s">
        <v>33</v>
      </c>
      <c r="F21" s="29"/>
      <c r="G21" s="30">
        <v>824342251.16187596</v>
      </c>
      <c r="H21" s="30"/>
      <c r="I21" s="31"/>
      <c r="J21" s="303">
        <f>SUM(G21+G22)</f>
        <v>1032342251.161876</v>
      </c>
    </row>
    <row r="22" spans="1:10" ht="57" customHeight="1" x14ac:dyDescent="0.25">
      <c r="A22" s="301"/>
      <c r="B22" s="301"/>
      <c r="C22" s="302"/>
      <c r="D22" s="301"/>
      <c r="E22" s="19" t="s">
        <v>36</v>
      </c>
      <c r="F22" s="29"/>
      <c r="G22" s="32">
        <v>208000000</v>
      </c>
      <c r="H22" s="32"/>
      <c r="I22" s="31"/>
      <c r="J22" s="304"/>
    </row>
    <row r="23" spans="1:10" ht="89.25" x14ac:dyDescent="0.25">
      <c r="A23" s="21">
        <v>9</v>
      </c>
      <c r="B23" s="12" t="s">
        <v>39</v>
      </c>
      <c r="C23" s="43" t="s">
        <v>38</v>
      </c>
      <c r="D23" s="12" t="s">
        <v>40</v>
      </c>
      <c r="E23" s="12" t="s">
        <v>36</v>
      </c>
      <c r="F23" s="16"/>
      <c r="G23" s="28">
        <v>503126400</v>
      </c>
      <c r="H23" s="28"/>
      <c r="I23" s="17"/>
      <c r="J23" s="17">
        <f>G23</f>
        <v>503126400</v>
      </c>
    </row>
    <row r="24" spans="1:10" ht="28.5" customHeight="1" x14ac:dyDescent="0.25">
      <c r="A24" s="21"/>
      <c r="B24" s="12"/>
      <c r="C24" s="44" t="s">
        <v>73</v>
      </c>
      <c r="D24" s="12" t="s">
        <v>72</v>
      </c>
      <c r="E24" s="12" t="s">
        <v>74</v>
      </c>
      <c r="F24" s="49">
        <v>66328480</v>
      </c>
      <c r="G24" s="25"/>
      <c r="H24" s="25"/>
      <c r="I24" s="25"/>
      <c r="J24" s="26"/>
    </row>
    <row r="25" spans="1:10" ht="25.5" x14ac:dyDescent="0.25">
      <c r="A25" s="21">
        <v>10</v>
      </c>
      <c r="B25" s="12"/>
      <c r="C25" s="44" t="s">
        <v>46</v>
      </c>
      <c r="D25" s="12" t="s">
        <v>47</v>
      </c>
      <c r="E25" s="12" t="s">
        <v>58</v>
      </c>
      <c r="F25" s="25"/>
      <c r="G25" s="25">
        <v>500000000</v>
      </c>
      <c r="H25" s="25"/>
      <c r="I25" s="26"/>
      <c r="J25" s="26">
        <f>G25</f>
        <v>500000000</v>
      </c>
    </row>
    <row r="26" spans="1:10" ht="38.25" x14ac:dyDescent="0.25">
      <c r="A26" s="21">
        <v>11</v>
      </c>
      <c r="B26" s="12"/>
      <c r="C26" s="44" t="s">
        <v>48</v>
      </c>
      <c r="D26" s="12" t="s">
        <v>49</v>
      </c>
      <c r="E26" s="12" t="s">
        <v>59</v>
      </c>
      <c r="F26" s="25">
        <v>600000000</v>
      </c>
      <c r="G26" s="25"/>
      <c r="H26" s="25"/>
      <c r="I26" s="26"/>
      <c r="J26" s="26">
        <f>F26</f>
        <v>600000000</v>
      </c>
    </row>
    <row r="27" spans="1:10" ht="49.5" customHeight="1" x14ac:dyDescent="0.25">
      <c r="A27" s="21">
        <v>12</v>
      </c>
      <c r="B27" s="12"/>
      <c r="C27" s="44" t="s">
        <v>75</v>
      </c>
      <c r="D27" s="11" t="s">
        <v>76</v>
      </c>
      <c r="E27" s="12" t="s">
        <v>58</v>
      </c>
      <c r="F27" s="25"/>
      <c r="G27" s="25">
        <v>300000000</v>
      </c>
      <c r="H27" s="25"/>
      <c r="I27" s="26"/>
      <c r="J27" s="26">
        <f>G27</f>
        <v>300000000</v>
      </c>
    </row>
    <row r="28" spans="1:10" ht="38.25" x14ac:dyDescent="0.25">
      <c r="A28" s="21">
        <v>13</v>
      </c>
      <c r="B28" s="12"/>
      <c r="C28" s="44" t="s">
        <v>44</v>
      </c>
      <c r="D28" s="12" t="s">
        <v>45</v>
      </c>
      <c r="E28" s="12" t="s">
        <v>58</v>
      </c>
      <c r="F28" s="25"/>
      <c r="G28" s="25">
        <v>300000000</v>
      </c>
      <c r="H28" s="25"/>
      <c r="I28" s="26"/>
      <c r="J28" s="26">
        <f>G28</f>
        <v>300000000</v>
      </c>
    </row>
    <row r="29" spans="1:10" ht="34.5" customHeight="1" x14ac:dyDescent="0.25">
      <c r="A29" s="294">
        <v>14</v>
      </c>
      <c r="B29" s="294"/>
      <c r="C29" s="298" t="s">
        <v>53</v>
      </c>
      <c r="D29" s="294" t="s">
        <v>54</v>
      </c>
      <c r="E29" s="12" t="s">
        <v>55</v>
      </c>
      <c r="F29" s="25">
        <v>150000000</v>
      </c>
      <c r="G29" s="25"/>
      <c r="H29" s="25"/>
      <c r="I29" s="26"/>
      <c r="J29" s="299">
        <f>SUM(F29+G30)</f>
        <v>650000000</v>
      </c>
    </row>
    <row r="30" spans="1:10" ht="31.5" customHeight="1" x14ac:dyDescent="0.25">
      <c r="A30" s="294"/>
      <c r="B30" s="294"/>
      <c r="C30" s="298"/>
      <c r="D30" s="294"/>
      <c r="E30" s="12" t="s">
        <v>58</v>
      </c>
      <c r="F30" s="25"/>
      <c r="G30" s="25">
        <v>500000000</v>
      </c>
      <c r="H30" s="25"/>
      <c r="I30" s="26"/>
      <c r="J30" s="300"/>
    </row>
    <row r="31" spans="1:10" ht="37.5" customHeight="1" x14ac:dyDescent="0.25">
      <c r="A31" s="12">
        <v>15</v>
      </c>
      <c r="B31" s="12"/>
      <c r="C31" s="50" t="s">
        <v>77</v>
      </c>
      <c r="D31" s="50" t="s">
        <v>78</v>
      </c>
      <c r="E31" s="12" t="s">
        <v>58</v>
      </c>
      <c r="F31" s="25"/>
      <c r="G31" s="25">
        <v>200000000</v>
      </c>
      <c r="H31" s="25"/>
      <c r="I31" s="26"/>
      <c r="J31" s="26">
        <f>G31</f>
        <v>200000000</v>
      </c>
    </row>
    <row r="32" spans="1:10" ht="63.75" x14ac:dyDescent="0.25">
      <c r="A32" s="12"/>
      <c r="B32" s="12"/>
      <c r="C32" s="44" t="s">
        <v>60</v>
      </c>
      <c r="D32" s="12" t="s">
        <v>61</v>
      </c>
      <c r="E32" s="12" t="s">
        <v>36</v>
      </c>
      <c r="F32" s="25">
        <v>0</v>
      </c>
      <c r="G32" s="38">
        <f>(737717*8000)*60%</f>
        <v>3541041600</v>
      </c>
      <c r="H32" s="25">
        <v>0</v>
      </c>
      <c r="I32" s="26">
        <v>0</v>
      </c>
      <c r="J32" s="26">
        <f>SUM(F32:I32)</f>
        <v>3541041600</v>
      </c>
    </row>
    <row r="33" spans="1:10" ht="89.25" x14ac:dyDescent="0.25">
      <c r="A33" s="12"/>
      <c r="B33" s="12"/>
      <c r="C33" s="44" t="s">
        <v>63</v>
      </c>
      <c r="D33" s="12" t="s">
        <v>62</v>
      </c>
      <c r="E33" s="12" t="s">
        <v>36</v>
      </c>
      <c r="F33" s="25">
        <v>0</v>
      </c>
      <c r="G33" s="25">
        <f>(737717*8000)*20%</f>
        <v>1180347200</v>
      </c>
      <c r="H33" s="25">
        <v>0</v>
      </c>
      <c r="I33" s="26">
        <v>0</v>
      </c>
      <c r="J33" s="26">
        <f>SUM(F33:I33)</f>
        <v>1180347200</v>
      </c>
    </row>
    <row r="34" spans="1:10" ht="33" customHeight="1" x14ac:dyDescent="0.25"/>
  </sheetData>
  <mergeCells count="26">
    <mergeCell ref="A21:A22"/>
    <mergeCell ref="B21:B22"/>
    <mergeCell ref="C21:C22"/>
    <mergeCell ref="D21:D22"/>
    <mergeCell ref="J21:J22"/>
    <mergeCell ref="A29:A30"/>
    <mergeCell ref="B29:B30"/>
    <mergeCell ref="C29:C30"/>
    <mergeCell ref="D29:D30"/>
    <mergeCell ref="J29:J30"/>
    <mergeCell ref="D10:E10"/>
    <mergeCell ref="A18:J18"/>
    <mergeCell ref="A19:A20"/>
    <mergeCell ref="B19:B20"/>
    <mergeCell ref="C19:C20"/>
    <mergeCell ref="D19:D20"/>
    <mergeCell ref="J19:J20"/>
    <mergeCell ref="A1:J1"/>
    <mergeCell ref="A2:A3"/>
    <mergeCell ref="B2:B3"/>
    <mergeCell ref="C2:C3"/>
    <mergeCell ref="D2:D3"/>
    <mergeCell ref="E2:E3"/>
    <mergeCell ref="F2:H2"/>
    <mergeCell ref="I2:I3"/>
    <mergeCell ref="J2:J3"/>
  </mergeCells>
  <dataValidations count="1">
    <dataValidation type="decimal" allowBlank="1" showInputMessage="1" showErrorMessage="1" errorTitle="Fuentes de Financiación" error="Esta celda solo recibe numeros" promptTitle="Fuentes de Financiación" prompt="Ingresar el valor completo que aportara la fuente de financiación al proyecto en la vigencia 2015." sqref="G6:H9 F7:F9">
      <formula1>0</formula1>
      <formula2>1000000000000</formula2>
    </dataValidation>
  </dataValidations>
  <printOptions horizontalCentered="1" verticalCentered="1"/>
  <pageMargins left="0.70866141732283472" right="0.70866141732283472" top="0.74803149606299213" bottom="0.74803149606299213" header="0.31496062992125984" footer="0.31496062992125984"/>
  <pageSetup scale="50"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4"/>
  <sheetViews>
    <sheetView topLeftCell="B33" zoomScale="80" zoomScaleNormal="80" workbookViewId="0">
      <selection activeCell="H42" sqref="H42"/>
    </sheetView>
  </sheetViews>
  <sheetFormatPr baseColWidth="10" defaultRowHeight="15" x14ac:dyDescent="0.25"/>
  <cols>
    <col min="1" max="1" width="9.5703125" style="5" bestFit="1" customWidth="1"/>
    <col min="2" max="2" width="12" style="5" customWidth="1"/>
    <col min="3" max="3" width="30.42578125" style="5" customWidth="1"/>
    <col min="4" max="4" width="54" style="5" customWidth="1"/>
    <col min="5" max="5" width="19.42578125" style="5" bestFit="1" customWidth="1"/>
    <col min="6" max="6" width="19.140625" style="6" bestFit="1" customWidth="1"/>
    <col min="7" max="7" width="21" style="6" bestFit="1" customWidth="1"/>
    <col min="8" max="8" width="19" style="6" customWidth="1"/>
    <col min="9" max="9" width="22.28515625" style="5" bestFit="1" customWidth="1"/>
    <col min="10" max="10" width="19.42578125" bestFit="1" customWidth="1"/>
    <col min="11" max="11" width="14.85546875" customWidth="1"/>
  </cols>
  <sheetData>
    <row r="1" spans="1:11" ht="28.5" x14ac:dyDescent="0.25">
      <c r="A1" s="292" t="s">
        <v>26</v>
      </c>
      <c r="B1" s="292"/>
      <c r="C1" s="292"/>
      <c r="D1" s="292"/>
      <c r="E1" s="292"/>
      <c r="F1" s="292"/>
      <c r="G1" s="292"/>
      <c r="H1" s="292"/>
      <c r="I1" s="292"/>
      <c r="J1" s="292"/>
    </row>
    <row r="2" spans="1:11" ht="30" customHeight="1" x14ac:dyDescent="0.25">
      <c r="A2" s="244" t="s">
        <v>0</v>
      </c>
      <c r="B2" s="244" t="s">
        <v>28</v>
      </c>
      <c r="C2" s="244" t="s">
        <v>23</v>
      </c>
      <c r="D2" s="244" t="s">
        <v>1</v>
      </c>
      <c r="E2" s="245" t="s">
        <v>27</v>
      </c>
      <c r="F2" s="247" t="s">
        <v>2</v>
      </c>
      <c r="G2" s="248"/>
      <c r="H2" s="249"/>
      <c r="I2" s="244" t="s">
        <v>3</v>
      </c>
      <c r="J2" s="241" t="s">
        <v>37</v>
      </c>
    </row>
    <row r="3" spans="1:11" ht="30" x14ac:dyDescent="0.25">
      <c r="A3" s="244"/>
      <c r="B3" s="244"/>
      <c r="C3" s="244"/>
      <c r="D3" s="244"/>
      <c r="E3" s="246"/>
      <c r="F3" s="8" t="s">
        <v>34</v>
      </c>
      <c r="G3" s="8" t="s">
        <v>35</v>
      </c>
      <c r="H3" s="8" t="s">
        <v>36</v>
      </c>
      <c r="I3" s="244"/>
      <c r="J3" s="241"/>
    </row>
    <row r="4" spans="1:11" ht="51" x14ac:dyDescent="0.25">
      <c r="A4" s="10">
        <v>1</v>
      </c>
      <c r="B4" s="2" t="s">
        <v>22</v>
      </c>
      <c r="C4" s="45" t="s">
        <v>4</v>
      </c>
      <c r="D4" s="1" t="s">
        <v>14</v>
      </c>
      <c r="E4" s="10" t="s">
        <v>29</v>
      </c>
      <c r="F4" s="7">
        <v>1500000000</v>
      </c>
      <c r="G4" s="7">
        <v>400752369</v>
      </c>
      <c r="H4" s="7"/>
      <c r="I4" s="12" t="s">
        <v>17</v>
      </c>
      <c r="J4" s="33">
        <f t="shared" ref="J4:J9" si="0">F4+G4</f>
        <v>1900752369</v>
      </c>
      <c r="K4" s="34"/>
    </row>
    <row r="5" spans="1:11" ht="398.25" customHeight="1" x14ac:dyDescent="0.25">
      <c r="A5" s="10">
        <v>2</v>
      </c>
      <c r="B5" s="11" t="s">
        <v>16</v>
      </c>
      <c r="C5" s="45" t="s">
        <v>5</v>
      </c>
      <c r="D5" s="4" t="s">
        <v>10</v>
      </c>
      <c r="E5" s="10" t="s">
        <v>29</v>
      </c>
      <c r="F5" s="7">
        <v>0</v>
      </c>
      <c r="G5" s="7">
        <v>1300000000</v>
      </c>
      <c r="H5" s="7"/>
      <c r="I5" s="11" t="s">
        <v>24</v>
      </c>
      <c r="J5" s="18">
        <f t="shared" si="0"/>
        <v>1300000000</v>
      </c>
    </row>
    <row r="6" spans="1:11" ht="114.75" x14ac:dyDescent="0.25">
      <c r="A6" s="10">
        <v>3</v>
      </c>
      <c r="B6" s="11" t="s">
        <v>21</v>
      </c>
      <c r="C6" s="45" t="s">
        <v>6</v>
      </c>
      <c r="D6" s="4" t="s">
        <v>11</v>
      </c>
      <c r="E6" s="10" t="s">
        <v>29</v>
      </c>
      <c r="F6" s="7">
        <v>0</v>
      </c>
      <c r="G6" s="7">
        <v>1800000000</v>
      </c>
      <c r="H6" s="7"/>
      <c r="I6" s="13" t="s">
        <v>25</v>
      </c>
      <c r="J6" s="18">
        <f t="shared" si="0"/>
        <v>1800000000</v>
      </c>
    </row>
    <row r="7" spans="1:11" ht="63.75" x14ac:dyDescent="0.25">
      <c r="A7" s="10">
        <v>4</v>
      </c>
      <c r="B7" s="11" t="s">
        <v>20</v>
      </c>
      <c r="C7" s="45" t="s">
        <v>7</v>
      </c>
      <c r="D7" s="1" t="s">
        <v>12</v>
      </c>
      <c r="E7" s="10" t="s">
        <v>29</v>
      </c>
      <c r="F7" s="7">
        <v>150000000</v>
      </c>
      <c r="G7" s="7">
        <v>1200000000</v>
      </c>
      <c r="H7" s="7"/>
      <c r="I7" s="12" t="s">
        <v>17</v>
      </c>
      <c r="J7" s="18">
        <f t="shared" si="0"/>
        <v>1350000000</v>
      </c>
    </row>
    <row r="8" spans="1:11" ht="72" customHeight="1" x14ac:dyDescent="0.25">
      <c r="A8" s="10">
        <v>5</v>
      </c>
      <c r="B8" s="11" t="s">
        <v>19</v>
      </c>
      <c r="C8" s="45" t="s">
        <v>8</v>
      </c>
      <c r="D8" s="3" t="s">
        <v>13</v>
      </c>
      <c r="E8" s="10" t="s">
        <v>29</v>
      </c>
      <c r="F8" s="7">
        <v>250000000</v>
      </c>
      <c r="G8" s="7">
        <v>400000000</v>
      </c>
      <c r="H8" s="7"/>
      <c r="I8" s="12" t="s">
        <v>17</v>
      </c>
      <c r="J8" s="18">
        <f t="shared" si="0"/>
        <v>650000000</v>
      </c>
    </row>
    <row r="9" spans="1:11" ht="120" x14ac:dyDescent="0.25">
      <c r="A9" s="10">
        <v>6</v>
      </c>
      <c r="B9" s="11" t="s">
        <v>18</v>
      </c>
      <c r="C9" s="45" t="s">
        <v>9</v>
      </c>
      <c r="D9" s="4" t="s">
        <v>15</v>
      </c>
      <c r="E9" s="10" t="s">
        <v>29</v>
      </c>
      <c r="F9" s="7">
        <v>33000000</v>
      </c>
      <c r="G9" s="7">
        <v>1000000000</v>
      </c>
      <c r="H9" s="7"/>
      <c r="I9" s="12" t="s">
        <v>17</v>
      </c>
      <c r="J9" s="18">
        <f t="shared" si="0"/>
        <v>1033000000</v>
      </c>
    </row>
    <row r="10" spans="1:11" x14ac:dyDescent="0.25">
      <c r="D10" s="270" t="s">
        <v>52</v>
      </c>
      <c r="E10" s="270"/>
      <c r="F10" s="14">
        <f>SUM(F4:F9)</f>
        <v>1933000000</v>
      </c>
      <c r="G10" s="15">
        <f>SUM(G4:G9)</f>
        <v>6100752369</v>
      </c>
      <c r="H10" s="15"/>
      <c r="I10" s="9">
        <f>SUM(F10+G10)</f>
        <v>8033752369</v>
      </c>
    </row>
    <row r="11" spans="1:11" x14ac:dyDescent="0.25">
      <c r="D11" s="20"/>
      <c r="E11" s="20"/>
      <c r="F11" s="22"/>
      <c r="G11" s="23"/>
      <c r="H11" s="23"/>
      <c r="I11" s="24"/>
    </row>
    <row r="12" spans="1:11" x14ac:dyDescent="0.25">
      <c r="D12" s="20"/>
      <c r="E12" s="20"/>
      <c r="F12" s="22"/>
      <c r="G12" s="23"/>
      <c r="H12" s="23"/>
      <c r="I12" s="24"/>
    </row>
    <row r="13" spans="1:11" x14ac:dyDescent="0.25">
      <c r="D13" s="20"/>
      <c r="E13" s="20"/>
      <c r="F13" s="22"/>
      <c r="G13" s="23"/>
      <c r="H13" s="23"/>
      <c r="I13" s="24"/>
    </row>
    <row r="14" spans="1:11" x14ac:dyDescent="0.25">
      <c r="D14" s="20"/>
      <c r="E14" s="20"/>
      <c r="F14" s="22"/>
      <c r="G14" s="23"/>
      <c r="H14" s="23"/>
      <c r="I14" s="24"/>
    </row>
    <row r="15" spans="1:11" x14ac:dyDescent="0.25">
      <c r="D15" s="20"/>
      <c r="E15" s="20"/>
      <c r="F15" s="22"/>
      <c r="G15" s="23"/>
      <c r="H15" s="23"/>
      <c r="I15" s="24"/>
    </row>
    <row r="16" spans="1:11" x14ac:dyDescent="0.25">
      <c r="D16" s="20"/>
      <c r="E16" s="20"/>
      <c r="F16" s="22"/>
      <c r="G16" s="23"/>
      <c r="H16" s="23"/>
      <c r="I16" s="24"/>
    </row>
    <row r="17" spans="1:10" x14ac:dyDescent="0.25">
      <c r="D17" s="20"/>
      <c r="E17" s="20"/>
      <c r="F17" s="22"/>
      <c r="G17" s="23"/>
      <c r="H17" s="23"/>
      <c r="I17" s="24"/>
    </row>
    <row r="18" spans="1:10" ht="23.25" x14ac:dyDescent="0.25">
      <c r="A18" s="293" t="s">
        <v>65</v>
      </c>
      <c r="B18" s="293"/>
      <c r="C18" s="293"/>
      <c r="D18" s="293"/>
      <c r="E18" s="293"/>
      <c r="F18" s="293"/>
      <c r="G18" s="293"/>
      <c r="H18" s="293"/>
      <c r="I18" s="293"/>
      <c r="J18" s="293"/>
    </row>
    <row r="19" spans="1:10" ht="17.25" customHeight="1" x14ac:dyDescent="0.25">
      <c r="A19" s="294">
        <v>7</v>
      </c>
      <c r="B19" s="295" t="s">
        <v>31</v>
      </c>
      <c r="C19" s="296" t="s">
        <v>30</v>
      </c>
      <c r="D19" s="294" t="s">
        <v>32</v>
      </c>
      <c r="E19" s="12" t="s">
        <v>33</v>
      </c>
      <c r="F19" s="27">
        <v>408000000</v>
      </c>
      <c r="G19" s="16"/>
      <c r="H19" s="16"/>
      <c r="I19" s="17"/>
      <c r="J19" s="297">
        <f>SUM(F19+G20)</f>
        <v>800000000</v>
      </c>
    </row>
    <row r="20" spans="1:10" ht="71.25" customHeight="1" x14ac:dyDescent="0.25">
      <c r="A20" s="294"/>
      <c r="B20" s="295"/>
      <c r="C20" s="296"/>
      <c r="D20" s="294"/>
      <c r="E20" s="12" t="s">
        <v>36</v>
      </c>
      <c r="F20" s="16"/>
      <c r="G20" s="28">
        <v>392000000</v>
      </c>
      <c r="H20" s="28"/>
      <c r="I20" s="17"/>
      <c r="J20" s="297"/>
    </row>
    <row r="21" spans="1:10" ht="45" customHeight="1" x14ac:dyDescent="0.25">
      <c r="A21" s="301">
        <v>8</v>
      </c>
      <c r="B21" s="301" t="s">
        <v>41</v>
      </c>
      <c r="C21" s="302" t="s">
        <v>43</v>
      </c>
      <c r="D21" s="301" t="s">
        <v>42</v>
      </c>
      <c r="E21" s="19" t="s">
        <v>33</v>
      </c>
      <c r="F21" s="29"/>
      <c r="G21" s="30">
        <v>824342251.16187596</v>
      </c>
      <c r="H21" s="30"/>
      <c r="I21" s="31"/>
      <c r="J21" s="303">
        <f>SUM(G21+G22)</f>
        <v>1032342251.161876</v>
      </c>
    </row>
    <row r="22" spans="1:10" ht="57" customHeight="1" x14ac:dyDescent="0.25">
      <c r="A22" s="301"/>
      <c r="B22" s="301"/>
      <c r="C22" s="302"/>
      <c r="D22" s="301"/>
      <c r="E22" s="19" t="s">
        <v>36</v>
      </c>
      <c r="F22" s="29"/>
      <c r="G22" s="32">
        <v>208000000</v>
      </c>
      <c r="H22" s="32"/>
      <c r="I22" s="31"/>
      <c r="J22" s="304"/>
    </row>
    <row r="23" spans="1:10" ht="89.25" x14ac:dyDescent="0.25">
      <c r="A23" s="21">
        <v>9</v>
      </c>
      <c r="B23" s="12" t="s">
        <v>39</v>
      </c>
      <c r="C23" s="43" t="s">
        <v>38</v>
      </c>
      <c r="D23" s="12" t="s">
        <v>40</v>
      </c>
      <c r="E23" s="12" t="s">
        <v>36</v>
      </c>
      <c r="F23" s="16"/>
      <c r="G23" s="28">
        <v>503126400</v>
      </c>
      <c r="H23" s="28"/>
      <c r="I23" s="17"/>
      <c r="J23" s="17">
        <f>G23</f>
        <v>503126400</v>
      </c>
    </row>
    <row r="24" spans="1:10" ht="28.5" customHeight="1" x14ac:dyDescent="0.25">
      <c r="A24" s="21"/>
      <c r="B24" s="12"/>
      <c r="C24" s="44" t="s">
        <v>73</v>
      </c>
      <c r="D24" s="12" t="s">
        <v>72</v>
      </c>
      <c r="E24" s="12" t="s">
        <v>74</v>
      </c>
      <c r="F24" s="49">
        <v>66328480</v>
      </c>
      <c r="G24" s="25"/>
      <c r="H24" s="25"/>
      <c r="I24" s="25"/>
      <c r="J24" s="26"/>
    </row>
    <row r="25" spans="1:10" ht="25.5" x14ac:dyDescent="0.25">
      <c r="A25" s="21">
        <v>10</v>
      </c>
      <c r="B25" s="12"/>
      <c r="C25" s="44" t="s">
        <v>46</v>
      </c>
      <c r="D25" s="12" t="s">
        <v>47</v>
      </c>
      <c r="E25" s="12" t="s">
        <v>58</v>
      </c>
      <c r="F25" s="25"/>
      <c r="G25" s="25">
        <v>500000000</v>
      </c>
      <c r="H25" s="25"/>
      <c r="I25" s="26"/>
      <c r="J25" s="26">
        <f>G25</f>
        <v>500000000</v>
      </c>
    </row>
    <row r="26" spans="1:10" ht="38.25" x14ac:dyDescent="0.25">
      <c r="A26" s="21">
        <v>11</v>
      </c>
      <c r="B26" s="12"/>
      <c r="C26" s="44" t="s">
        <v>48</v>
      </c>
      <c r="D26" s="12" t="s">
        <v>49</v>
      </c>
      <c r="E26" s="12" t="s">
        <v>59</v>
      </c>
      <c r="F26" s="25">
        <v>600000000</v>
      </c>
      <c r="G26" s="25"/>
      <c r="H26" s="25"/>
      <c r="I26" s="26"/>
      <c r="J26" s="26">
        <f>F26</f>
        <v>600000000</v>
      </c>
    </row>
    <row r="27" spans="1:10" ht="49.5" customHeight="1" x14ac:dyDescent="0.25">
      <c r="A27" s="21">
        <v>12</v>
      </c>
      <c r="B27" s="12"/>
      <c r="C27" s="44" t="s">
        <v>75</v>
      </c>
      <c r="D27" s="11" t="s">
        <v>76</v>
      </c>
      <c r="E27" s="12" t="s">
        <v>58</v>
      </c>
      <c r="F27" s="25"/>
      <c r="G27" s="25">
        <v>300000000</v>
      </c>
      <c r="H27" s="25"/>
      <c r="I27" s="26"/>
      <c r="J27" s="26">
        <f>G27</f>
        <v>300000000</v>
      </c>
    </row>
    <row r="28" spans="1:10" ht="38.25" x14ac:dyDescent="0.25">
      <c r="A28" s="21">
        <v>13</v>
      </c>
      <c r="B28" s="12"/>
      <c r="C28" s="44" t="s">
        <v>44</v>
      </c>
      <c r="D28" s="12" t="s">
        <v>45</v>
      </c>
      <c r="E28" s="12" t="s">
        <v>58</v>
      </c>
      <c r="F28" s="25"/>
      <c r="G28" s="25">
        <v>300000000</v>
      </c>
      <c r="H28" s="25"/>
      <c r="I28" s="26"/>
      <c r="J28" s="26">
        <f>G28</f>
        <v>300000000</v>
      </c>
    </row>
    <row r="29" spans="1:10" ht="34.5" customHeight="1" x14ac:dyDescent="0.25">
      <c r="A29" s="294">
        <v>14</v>
      </c>
      <c r="B29" s="294"/>
      <c r="C29" s="311" t="s">
        <v>53</v>
      </c>
      <c r="D29" s="294" t="s">
        <v>54</v>
      </c>
      <c r="E29" s="12" t="s">
        <v>55</v>
      </c>
      <c r="F29" s="25">
        <v>150000000</v>
      </c>
      <c r="G29" s="25"/>
      <c r="H29" s="25"/>
      <c r="I29" s="26"/>
      <c r="J29" s="299">
        <f>SUM(F29+G30)</f>
        <v>650000000</v>
      </c>
    </row>
    <row r="30" spans="1:10" ht="31.5" customHeight="1" x14ac:dyDescent="0.25">
      <c r="A30" s="294"/>
      <c r="B30" s="294"/>
      <c r="C30" s="311"/>
      <c r="D30" s="294"/>
      <c r="E30" s="12" t="s">
        <v>58</v>
      </c>
      <c r="F30" s="25"/>
      <c r="G30" s="25">
        <v>500000000</v>
      </c>
      <c r="H30" s="25"/>
      <c r="I30" s="26"/>
      <c r="J30" s="300"/>
    </row>
    <row r="31" spans="1:10" ht="37.5" customHeight="1" x14ac:dyDescent="0.25">
      <c r="A31" s="12">
        <v>15</v>
      </c>
      <c r="B31" s="12"/>
      <c r="C31" s="50" t="s">
        <v>77</v>
      </c>
      <c r="D31" s="50" t="s">
        <v>78</v>
      </c>
      <c r="E31" s="12" t="s">
        <v>58</v>
      </c>
      <c r="F31" s="25"/>
      <c r="G31" s="25">
        <v>200000000</v>
      </c>
      <c r="H31" s="25"/>
      <c r="I31" s="26"/>
      <c r="J31" s="26">
        <f>G31</f>
        <v>200000000</v>
      </c>
    </row>
    <row r="32" spans="1:10" ht="63.75" x14ac:dyDescent="0.25">
      <c r="A32" s="12"/>
      <c r="B32" s="12"/>
      <c r="C32" s="44" t="s">
        <v>60</v>
      </c>
      <c r="D32" s="12" t="s">
        <v>61</v>
      </c>
      <c r="E32" s="12" t="s">
        <v>36</v>
      </c>
      <c r="F32" s="25">
        <v>0</v>
      </c>
      <c r="G32" s="38">
        <f>(737717*8000)*60%</f>
        <v>3541041600</v>
      </c>
      <c r="H32" s="25">
        <v>0</v>
      </c>
      <c r="I32" s="26">
        <v>0</v>
      </c>
      <c r="J32" s="26">
        <f>SUM(F32:I32)</f>
        <v>3541041600</v>
      </c>
    </row>
    <row r="33" spans="1:10" ht="89.25" x14ac:dyDescent="0.25">
      <c r="A33" s="12"/>
      <c r="B33" s="12"/>
      <c r="C33" s="44" t="s">
        <v>63</v>
      </c>
      <c r="D33" s="12" t="s">
        <v>62</v>
      </c>
      <c r="E33" s="12" t="s">
        <v>36</v>
      </c>
      <c r="F33" s="25">
        <v>0</v>
      </c>
      <c r="G33" s="25">
        <f>(737717*8000)*20%</f>
        <v>1180347200</v>
      </c>
      <c r="H33" s="25">
        <v>0</v>
      </c>
      <c r="I33" s="26">
        <v>0</v>
      </c>
      <c r="J33" s="26">
        <f>SUM(F33:I33)</f>
        <v>1180347200</v>
      </c>
    </row>
    <row r="34" spans="1:10" ht="76.5" x14ac:dyDescent="0.25">
      <c r="B34" s="12"/>
      <c r="C34" s="44" t="s">
        <v>79</v>
      </c>
      <c r="D34" s="12"/>
      <c r="E34" s="12" t="s">
        <v>81</v>
      </c>
      <c r="F34" s="48">
        <v>0</v>
      </c>
      <c r="G34" s="52">
        <v>124490500</v>
      </c>
      <c r="H34" s="25">
        <v>0</v>
      </c>
      <c r="I34" s="26">
        <v>0</v>
      </c>
      <c r="J34" s="53">
        <f>+G34</f>
        <v>124490500</v>
      </c>
    </row>
    <row r="35" spans="1:10" ht="63.75" x14ac:dyDescent="0.25">
      <c r="B35" s="12"/>
      <c r="C35" s="44" t="s">
        <v>80</v>
      </c>
      <c r="D35" s="12"/>
      <c r="E35" s="12" t="s">
        <v>81</v>
      </c>
      <c r="F35" s="48">
        <v>0</v>
      </c>
      <c r="G35" s="48">
        <v>32984687.5</v>
      </c>
      <c r="H35" s="25">
        <v>0</v>
      </c>
      <c r="I35" s="26">
        <v>0</v>
      </c>
      <c r="J35" s="53">
        <f>+G35</f>
        <v>32984687.5</v>
      </c>
    </row>
    <row r="36" spans="1:10" ht="33" customHeight="1" x14ac:dyDescent="0.25">
      <c r="J36" s="51"/>
    </row>
    <row r="37" spans="1:10" x14ac:dyDescent="0.25">
      <c r="E37" s="305" t="s">
        <v>67</v>
      </c>
      <c r="F37" s="305"/>
      <c r="G37" s="305"/>
      <c r="H37" s="305"/>
      <c r="I37" s="305"/>
    </row>
    <row r="38" spans="1:10" ht="15" customHeight="1" x14ac:dyDescent="0.25">
      <c r="D38" s="306" t="s">
        <v>57</v>
      </c>
      <c r="E38" s="35" t="s">
        <v>66</v>
      </c>
      <c r="F38" s="36" t="s">
        <v>50</v>
      </c>
      <c r="G38" s="35" t="s">
        <v>51</v>
      </c>
      <c r="H38" s="307" t="s">
        <v>68</v>
      </c>
      <c r="I38" s="308"/>
      <c r="J38" s="35" t="s">
        <v>56</v>
      </c>
    </row>
    <row r="39" spans="1:10" ht="15" customHeight="1" x14ac:dyDescent="0.25">
      <c r="D39" s="306"/>
      <c r="E39" s="35"/>
      <c r="F39" s="36"/>
      <c r="G39" s="35"/>
      <c r="H39" s="36" t="s">
        <v>50</v>
      </c>
      <c r="I39" s="35" t="s">
        <v>69</v>
      </c>
      <c r="J39" s="35"/>
    </row>
    <row r="40" spans="1:10" ht="15" customHeight="1" x14ac:dyDescent="0.25">
      <c r="D40" s="306"/>
      <c r="E40" s="47">
        <v>0</v>
      </c>
      <c r="F40" s="37">
        <f>+F26</f>
        <v>600000000</v>
      </c>
      <c r="G40" s="38">
        <f>+G25+G27+G28+G30+G31</f>
        <v>1800000000</v>
      </c>
      <c r="H40" s="38">
        <v>474000000</v>
      </c>
      <c r="I40" s="38">
        <v>403865156.87</v>
      </c>
      <c r="J40" s="39"/>
    </row>
    <row r="41" spans="1:10" ht="18.75" x14ac:dyDescent="0.25">
      <c r="D41" s="42" t="s">
        <v>70</v>
      </c>
      <c r="E41" s="41">
        <f>(737717*8000)*80%</f>
        <v>4721388800</v>
      </c>
      <c r="F41" s="40">
        <v>0</v>
      </c>
      <c r="G41" s="47">
        <v>0</v>
      </c>
      <c r="I41" s="48">
        <f>+G23+G20</f>
        <v>895126400</v>
      </c>
      <c r="J41" s="41">
        <f>+G22</f>
        <v>208000000</v>
      </c>
    </row>
    <row r="42" spans="1:10" ht="18.75" x14ac:dyDescent="0.25">
      <c r="D42" s="46" t="s">
        <v>64</v>
      </c>
      <c r="E42" s="47">
        <v>0</v>
      </c>
      <c r="F42" s="26">
        <f>+F29+J34+J35</f>
        <v>307475187.5</v>
      </c>
      <c r="G42" s="47">
        <v>0</v>
      </c>
      <c r="H42" s="11"/>
      <c r="I42" s="11"/>
      <c r="J42" s="47">
        <v>0</v>
      </c>
    </row>
    <row r="43" spans="1:10" x14ac:dyDescent="0.25">
      <c r="I43" s="6"/>
      <c r="J43" s="5"/>
    </row>
    <row r="44" spans="1:10" ht="26.25" customHeight="1" x14ac:dyDescent="0.25">
      <c r="D44" s="309" t="s">
        <v>71</v>
      </c>
      <c r="E44" s="310"/>
      <c r="F44" s="310"/>
      <c r="G44" s="310"/>
      <c r="H44" s="271"/>
      <c r="I44" s="6"/>
    </row>
  </sheetData>
  <mergeCells count="30">
    <mergeCell ref="A1:J1"/>
    <mergeCell ref="A19:A20"/>
    <mergeCell ref="B19:B20"/>
    <mergeCell ref="C19:C20"/>
    <mergeCell ref="D19:D20"/>
    <mergeCell ref="J19:J20"/>
    <mergeCell ref="J2:J3"/>
    <mergeCell ref="I2:I3"/>
    <mergeCell ref="A2:A3"/>
    <mergeCell ref="C2:C3"/>
    <mergeCell ref="D2:D3"/>
    <mergeCell ref="E2:E3"/>
    <mergeCell ref="B2:B3"/>
    <mergeCell ref="D10:E10"/>
    <mergeCell ref="E37:I37"/>
    <mergeCell ref="D38:D40"/>
    <mergeCell ref="H38:I38"/>
    <mergeCell ref="D44:H44"/>
    <mergeCell ref="F2:H2"/>
    <mergeCell ref="A18:J18"/>
    <mergeCell ref="J29:J30"/>
    <mergeCell ref="J21:J22"/>
    <mergeCell ref="C21:C22"/>
    <mergeCell ref="B21:B22"/>
    <mergeCell ref="A21:A22"/>
    <mergeCell ref="D21:D22"/>
    <mergeCell ref="D29:D30"/>
    <mergeCell ref="C29:C30"/>
    <mergeCell ref="B29:B30"/>
    <mergeCell ref="A29:A30"/>
  </mergeCells>
  <dataValidations count="1">
    <dataValidation type="decimal" allowBlank="1" showInputMessage="1" showErrorMessage="1" errorTitle="Fuentes de Financiación" error="Esta celda solo recibe numeros" promptTitle="Fuentes de Financiación" prompt="Ingresar el valor completo que aportara la fuente de financiación al proyecto en la vigencia 2015." sqref="G6:H9 F7:F9">
      <formula1>0</formula1>
      <formula2>1000000000000</formula2>
    </dataValidation>
  </dataValidations>
  <printOptions horizontalCentered="1" verticalCentered="1"/>
  <pageMargins left="0.70866141732283472" right="0.70866141732283472" top="0.74803149606299213" bottom="0.74803149606299213" header="0.31496062992125984" footer="0.31496062992125984"/>
  <pageSetup scale="50"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6"/>
  <sheetViews>
    <sheetView topLeftCell="A41" zoomScale="80" zoomScaleNormal="80" workbookViewId="0">
      <selection activeCell="B36" sqref="B36:B37"/>
    </sheetView>
  </sheetViews>
  <sheetFormatPr baseColWidth="10" defaultRowHeight="15" x14ac:dyDescent="0.25"/>
  <cols>
    <col min="1" max="1" width="12" style="5" customWidth="1"/>
    <col min="2" max="2" width="43" style="5" customWidth="1"/>
    <col min="3" max="3" width="54" style="5" customWidth="1"/>
    <col min="4" max="4" width="19.42578125" style="5" bestFit="1" customWidth="1"/>
    <col min="5" max="5" width="21.7109375" style="6" customWidth="1"/>
    <col min="6" max="6" width="21" style="6" bestFit="1" customWidth="1"/>
    <col min="7" max="7" width="19" style="6" customWidth="1"/>
    <col min="8" max="8" width="22.28515625" style="5" bestFit="1" customWidth="1"/>
    <col min="9" max="9" width="19.42578125" bestFit="1" customWidth="1"/>
    <col min="10" max="10" width="14.85546875" customWidth="1"/>
  </cols>
  <sheetData>
    <row r="1" spans="1:10" ht="28.5" x14ac:dyDescent="0.25">
      <c r="A1" s="292" t="s">
        <v>26</v>
      </c>
      <c r="B1" s="292"/>
      <c r="C1" s="292"/>
      <c r="D1" s="292"/>
      <c r="E1" s="292"/>
      <c r="F1" s="292"/>
      <c r="G1" s="292"/>
      <c r="H1" s="292"/>
      <c r="I1" s="292"/>
    </row>
    <row r="2" spans="1:10" ht="28.5" x14ac:dyDescent="0.25">
      <c r="A2" s="315" t="s">
        <v>99</v>
      </c>
      <c r="B2" s="315"/>
      <c r="C2" s="315"/>
      <c r="D2" s="315"/>
      <c r="E2" s="315"/>
      <c r="F2" s="315"/>
      <c r="G2" s="315"/>
      <c r="H2" s="315"/>
      <c r="I2" s="315"/>
    </row>
    <row r="3" spans="1:10" ht="30" customHeight="1" x14ac:dyDescent="0.25">
      <c r="A3" s="244" t="s">
        <v>28</v>
      </c>
      <c r="B3" s="244" t="s">
        <v>23</v>
      </c>
      <c r="C3" s="244" t="s">
        <v>1</v>
      </c>
      <c r="D3" s="245" t="s">
        <v>27</v>
      </c>
      <c r="E3" s="247" t="s">
        <v>2</v>
      </c>
      <c r="F3" s="248"/>
      <c r="G3" s="249"/>
      <c r="H3" s="244" t="s">
        <v>3</v>
      </c>
      <c r="I3" s="241" t="s">
        <v>37</v>
      </c>
    </row>
    <row r="4" spans="1:10" x14ac:dyDescent="0.25">
      <c r="A4" s="244"/>
      <c r="B4" s="244"/>
      <c r="C4" s="244"/>
      <c r="D4" s="246"/>
      <c r="E4" s="8" t="s">
        <v>34</v>
      </c>
      <c r="F4" s="8" t="s">
        <v>35</v>
      </c>
      <c r="G4" s="8" t="s">
        <v>36</v>
      </c>
      <c r="H4" s="244"/>
      <c r="I4" s="241"/>
    </row>
    <row r="5" spans="1:10" ht="45" x14ac:dyDescent="0.25">
      <c r="A5" s="2" t="s">
        <v>22</v>
      </c>
      <c r="B5" s="45" t="s">
        <v>4</v>
      </c>
      <c r="C5" s="1" t="s">
        <v>14</v>
      </c>
      <c r="D5" s="10" t="s">
        <v>29</v>
      </c>
      <c r="E5" s="7">
        <v>1500000000</v>
      </c>
      <c r="F5" s="7">
        <v>400752369</v>
      </c>
      <c r="G5" s="7"/>
      <c r="H5" s="12" t="s">
        <v>17</v>
      </c>
      <c r="I5" s="33">
        <f t="shared" ref="I5:I10" si="0">E5+F5</f>
        <v>1900752369</v>
      </c>
      <c r="J5" s="34"/>
    </row>
    <row r="6" spans="1:10" ht="398.25" customHeight="1" x14ac:dyDescent="0.25">
      <c r="A6" s="2" t="s">
        <v>106</v>
      </c>
      <c r="B6" s="45" t="s">
        <v>5</v>
      </c>
      <c r="C6" s="4" t="s">
        <v>10</v>
      </c>
      <c r="D6" s="10" t="s">
        <v>29</v>
      </c>
      <c r="E6" s="7">
        <v>0</v>
      </c>
      <c r="F6" s="7">
        <v>1300000000</v>
      </c>
      <c r="G6" s="7"/>
      <c r="H6" s="11" t="s">
        <v>24</v>
      </c>
      <c r="I6" s="18">
        <f t="shared" si="0"/>
        <v>1300000000</v>
      </c>
    </row>
    <row r="7" spans="1:10" ht="90" x14ac:dyDescent="0.25">
      <c r="A7" s="11" t="s">
        <v>21</v>
      </c>
      <c r="B7" s="45" t="s">
        <v>6</v>
      </c>
      <c r="C7" s="4" t="s">
        <v>11</v>
      </c>
      <c r="D7" s="10" t="s">
        <v>29</v>
      </c>
      <c r="E7" s="7">
        <v>0</v>
      </c>
      <c r="F7" s="7">
        <v>1800000000</v>
      </c>
      <c r="G7" s="7"/>
      <c r="H7" s="13" t="s">
        <v>25</v>
      </c>
      <c r="I7" s="18">
        <f t="shared" si="0"/>
        <v>1800000000</v>
      </c>
    </row>
    <row r="8" spans="1:10" ht="51" x14ac:dyDescent="0.25">
      <c r="A8" s="11" t="s">
        <v>20</v>
      </c>
      <c r="B8" s="45" t="s">
        <v>7</v>
      </c>
      <c r="C8" s="1" t="s">
        <v>12</v>
      </c>
      <c r="D8" s="10" t="s">
        <v>29</v>
      </c>
      <c r="E8" s="7">
        <v>150000000</v>
      </c>
      <c r="F8" s="7">
        <v>1200000000</v>
      </c>
      <c r="G8" s="7"/>
      <c r="H8" s="12" t="s">
        <v>17</v>
      </c>
      <c r="I8" s="18">
        <f t="shared" si="0"/>
        <v>1350000000</v>
      </c>
    </row>
    <row r="9" spans="1:10" ht="72" customHeight="1" x14ac:dyDescent="0.25">
      <c r="A9" s="11" t="s">
        <v>19</v>
      </c>
      <c r="B9" s="45" t="s">
        <v>8</v>
      </c>
      <c r="C9" s="3" t="s">
        <v>13</v>
      </c>
      <c r="D9" s="10" t="s">
        <v>29</v>
      </c>
      <c r="E9" s="7">
        <v>250000000</v>
      </c>
      <c r="F9" s="7">
        <v>400000000</v>
      </c>
      <c r="G9" s="7"/>
      <c r="H9" s="12" t="s">
        <v>17</v>
      </c>
      <c r="I9" s="18">
        <f t="shared" si="0"/>
        <v>650000000</v>
      </c>
    </row>
    <row r="10" spans="1:10" ht="120" x14ac:dyDescent="0.25">
      <c r="A10" s="11" t="s">
        <v>18</v>
      </c>
      <c r="B10" s="45" t="s">
        <v>9</v>
      </c>
      <c r="C10" s="4" t="s">
        <v>15</v>
      </c>
      <c r="D10" s="10" t="s">
        <v>29</v>
      </c>
      <c r="E10" s="7">
        <v>33000000</v>
      </c>
      <c r="F10" s="7">
        <v>1000000000</v>
      </c>
      <c r="G10" s="7"/>
      <c r="H10" s="12" t="s">
        <v>17</v>
      </c>
      <c r="I10" s="33">
        <f t="shared" si="0"/>
        <v>1033000000</v>
      </c>
    </row>
    <row r="11" spans="1:10" x14ac:dyDescent="0.25">
      <c r="C11" s="270" t="s">
        <v>52</v>
      </c>
      <c r="D11" s="270"/>
      <c r="E11" s="14">
        <f>SUM(E5:E10)</f>
        <v>1933000000</v>
      </c>
      <c r="F11" s="15">
        <f>SUM(F5:F10)</f>
        <v>6100752369</v>
      </c>
      <c r="G11" s="15"/>
      <c r="H11" s="9">
        <f>SUM(E11+F11)</f>
        <v>8033752369</v>
      </c>
    </row>
    <row r="12" spans="1:10" x14ac:dyDescent="0.25">
      <c r="C12" s="20"/>
      <c r="D12" s="20"/>
      <c r="E12" s="22"/>
      <c r="F12" s="23"/>
      <c r="G12" s="23"/>
      <c r="H12" s="24"/>
    </row>
    <row r="13" spans="1:10" x14ac:dyDescent="0.25">
      <c r="C13" s="20"/>
      <c r="D13" s="20"/>
      <c r="E13" s="22"/>
      <c r="F13" s="23"/>
      <c r="G13" s="23"/>
      <c r="H13" s="24"/>
    </row>
    <row r="14" spans="1:10" x14ac:dyDescent="0.25">
      <c r="C14" s="20"/>
      <c r="D14" s="20"/>
      <c r="E14" s="22"/>
      <c r="F14" s="23"/>
      <c r="G14" s="23"/>
      <c r="H14" s="24"/>
    </row>
    <row r="15" spans="1:10" x14ac:dyDescent="0.25">
      <c r="C15" s="20"/>
      <c r="D15" s="20"/>
      <c r="E15" s="22"/>
      <c r="F15" s="23"/>
      <c r="G15" s="23"/>
      <c r="H15" s="24"/>
    </row>
    <row r="16" spans="1:10" x14ac:dyDescent="0.25">
      <c r="C16" s="20"/>
      <c r="D16" s="20"/>
      <c r="E16" s="22"/>
      <c r="F16" s="23"/>
      <c r="G16" s="23"/>
      <c r="H16" s="24"/>
    </row>
    <row r="17" spans="1:9" x14ac:dyDescent="0.25">
      <c r="C17" s="20"/>
      <c r="D17" s="20"/>
      <c r="E17" s="22"/>
      <c r="F17" s="23"/>
      <c r="G17" s="23"/>
      <c r="H17" s="24"/>
    </row>
    <row r="18" spans="1:9" x14ac:dyDescent="0.25">
      <c r="C18" s="20"/>
      <c r="D18" s="20"/>
      <c r="E18" s="22"/>
      <c r="F18" s="23"/>
      <c r="G18" s="23"/>
      <c r="H18" s="24"/>
    </row>
    <row r="19" spans="1:9" ht="23.25" x14ac:dyDescent="0.25">
      <c r="A19" s="312" t="s">
        <v>65</v>
      </c>
      <c r="B19" s="313"/>
      <c r="C19" s="313"/>
      <c r="D19" s="313"/>
      <c r="E19" s="313"/>
      <c r="F19" s="313"/>
      <c r="G19" s="313"/>
      <c r="H19" s="313"/>
      <c r="I19" s="314"/>
    </row>
    <row r="20" spans="1:9" ht="17.25" customHeight="1" x14ac:dyDescent="0.25">
      <c r="A20" s="295" t="s">
        <v>31</v>
      </c>
      <c r="B20" s="296" t="s">
        <v>30</v>
      </c>
      <c r="C20" s="294" t="s">
        <v>32</v>
      </c>
      <c r="D20" s="12" t="s">
        <v>33</v>
      </c>
      <c r="E20" s="27">
        <v>408000000</v>
      </c>
      <c r="F20" s="16"/>
      <c r="G20" s="16"/>
      <c r="H20" s="17"/>
      <c r="I20" s="297">
        <f>SUM(E20+F21)</f>
        <v>800000000</v>
      </c>
    </row>
    <row r="21" spans="1:9" ht="71.25" customHeight="1" x14ac:dyDescent="0.25">
      <c r="A21" s="295"/>
      <c r="B21" s="296"/>
      <c r="C21" s="294"/>
      <c r="D21" s="12" t="s">
        <v>36</v>
      </c>
      <c r="E21" s="16"/>
      <c r="F21" s="28">
        <v>392000000</v>
      </c>
      <c r="G21" s="28"/>
      <c r="H21" s="17"/>
      <c r="I21" s="297"/>
    </row>
    <row r="22" spans="1:9" ht="63.75" x14ac:dyDescent="0.25">
      <c r="A22" s="21" t="s">
        <v>39</v>
      </c>
      <c r="B22" s="43" t="s">
        <v>38</v>
      </c>
      <c r="C22" s="12" t="s">
        <v>89</v>
      </c>
      <c r="D22" s="12" t="s">
        <v>36</v>
      </c>
      <c r="E22" s="16"/>
      <c r="F22" s="28">
        <v>503126400</v>
      </c>
      <c r="G22" s="28"/>
      <c r="H22" s="17"/>
      <c r="I22" s="17">
        <f>F22</f>
        <v>503126400</v>
      </c>
    </row>
    <row r="23" spans="1:9" ht="45" customHeight="1" x14ac:dyDescent="0.25">
      <c r="A23" s="316" t="s">
        <v>41</v>
      </c>
      <c r="B23" s="317" t="s">
        <v>43</v>
      </c>
      <c r="C23" s="316" t="s">
        <v>42</v>
      </c>
      <c r="D23" s="56" t="s">
        <v>33</v>
      </c>
      <c r="E23" s="57"/>
      <c r="F23" s="28">
        <v>824342151.16187596</v>
      </c>
      <c r="G23" s="28"/>
      <c r="H23" s="27"/>
      <c r="I23" s="318">
        <f>SUM(F23+F24)</f>
        <v>1032342151.161876</v>
      </c>
    </row>
    <row r="24" spans="1:9" ht="57" customHeight="1" x14ac:dyDescent="0.25">
      <c r="A24" s="316"/>
      <c r="B24" s="317"/>
      <c r="C24" s="316"/>
      <c r="D24" s="56" t="s">
        <v>36</v>
      </c>
      <c r="E24" s="57"/>
      <c r="F24" s="58">
        <v>208000000</v>
      </c>
      <c r="G24" s="58"/>
      <c r="H24" s="27"/>
      <c r="I24" s="319"/>
    </row>
    <row r="25" spans="1:9" ht="28.5" customHeight="1" x14ac:dyDescent="0.25">
      <c r="A25" s="21" t="s">
        <v>93</v>
      </c>
      <c r="B25" s="44" t="s">
        <v>73</v>
      </c>
      <c r="C25" s="12" t="s">
        <v>72</v>
      </c>
      <c r="D25" s="12" t="s">
        <v>74</v>
      </c>
      <c r="E25" s="49">
        <v>66328480</v>
      </c>
      <c r="F25" s="25"/>
      <c r="G25" s="25"/>
      <c r="H25" s="25"/>
      <c r="I25" s="26"/>
    </row>
    <row r="26" spans="1:9" ht="57.75" customHeight="1" x14ac:dyDescent="0.25">
      <c r="A26" s="21" t="s">
        <v>100</v>
      </c>
      <c r="B26" s="44" t="s">
        <v>102</v>
      </c>
      <c r="C26" s="12"/>
      <c r="D26" s="73" t="s">
        <v>87</v>
      </c>
      <c r="E26" s="49"/>
      <c r="F26" s="25">
        <v>61600000</v>
      </c>
      <c r="G26" s="25"/>
      <c r="H26" s="25"/>
      <c r="I26" s="26">
        <f t="shared" ref="I26:I31" si="1">+F26</f>
        <v>61600000</v>
      </c>
    </row>
    <row r="27" spans="1:9" ht="84.75" customHeight="1" x14ac:dyDescent="0.25">
      <c r="A27" s="21" t="s">
        <v>107</v>
      </c>
      <c r="B27" s="44" t="s">
        <v>109</v>
      </c>
      <c r="C27" s="12" t="s">
        <v>108</v>
      </c>
      <c r="D27" s="73" t="s">
        <v>87</v>
      </c>
      <c r="E27" s="49"/>
      <c r="F27" s="25">
        <v>65292312</v>
      </c>
      <c r="G27" s="25"/>
      <c r="H27" s="25"/>
      <c r="I27" s="26">
        <f t="shared" si="1"/>
        <v>65292312</v>
      </c>
    </row>
    <row r="28" spans="1:9" ht="88.5" customHeight="1" x14ac:dyDescent="0.25">
      <c r="A28" s="21" t="s">
        <v>101</v>
      </c>
      <c r="B28" s="44" t="s">
        <v>103</v>
      </c>
      <c r="C28" s="12"/>
      <c r="D28" s="73" t="s">
        <v>87</v>
      </c>
      <c r="E28" s="49"/>
      <c r="F28" s="25">
        <v>90200000</v>
      </c>
      <c r="G28" s="25"/>
      <c r="H28" s="25"/>
      <c r="I28" s="26">
        <f t="shared" si="1"/>
        <v>90200000</v>
      </c>
    </row>
    <row r="29" spans="1:9" ht="51" x14ac:dyDescent="0.25">
      <c r="A29" s="59" t="s">
        <v>84</v>
      </c>
      <c r="B29" s="60" t="s">
        <v>86</v>
      </c>
      <c r="C29" s="61"/>
      <c r="D29" s="62" t="s">
        <v>87</v>
      </c>
      <c r="E29" s="63"/>
      <c r="F29" s="63">
        <v>417017483</v>
      </c>
      <c r="G29" s="63"/>
      <c r="H29" s="64"/>
      <c r="I29" s="64">
        <f t="shared" si="1"/>
        <v>417017483</v>
      </c>
    </row>
    <row r="30" spans="1:9" ht="122.25" customHeight="1" x14ac:dyDescent="0.25">
      <c r="A30" s="59" t="s">
        <v>85</v>
      </c>
      <c r="B30" s="60" t="s">
        <v>88</v>
      </c>
      <c r="C30" s="61"/>
      <c r="D30" s="62" t="s">
        <v>87</v>
      </c>
      <c r="E30" s="63"/>
      <c r="F30" s="63">
        <v>70200000</v>
      </c>
      <c r="G30" s="63"/>
      <c r="H30" s="64"/>
      <c r="I30" s="64">
        <f t="shared" si="1"/>
        <v>70200000</v>
      </c>
    </row>
    <row r="31" spans="1:9" ht="51" x14ac:dyDescent="0.25">
      <c r="A31" s="59" t="s">
        <v>83</v>
      </c>
      <c r="B31" s="60" t="s">
        <v>82</v>
      </c>
      <c r="C31" s="61"/>
      <c r="D31" s="62" t="s">
        <v>87</v>
      </c>
      <c r="E31" s="65">
        <v>0</v>
      </c>
      <c r="F31" s="66">
        <v>124490500</v>
      </c>
      <c r="G31" s="63">
        <v>0</v>
      </c>
      <c r="H31" s="64">
        <v>0</v>
      </c>
      <c r="I31" s="67">
        <f t="shared" si="1"/>
        <v>124490500</v>
      </c>
    </row>
    <row r="32" spans="1:9" ht="54" customHeight="1" x14ac:dyDescent="0.25">
      <c r="A32" s="68" t="s">
        <v>92</v>
      </c>
      <c r="B32" s="60" t="s">
        <v>91</v>
      </c>
      <c r="C32" s="61" t="s">
        <v>47</v>
      </c>
      <c r="D32" s="61" t="s">
        <v>58</v>
      </c>
      <c r="E32" s="63"/>
      <c r="F32" s="63">
        <v>500000000</v>
      </c>
      <c r="G32" s="63"/>
      <c r="H32" s="64"/>
      <c r="I32" s="64">
        <f>F32</f>
        <v>500000000</v>
      </c>
    </row>
    <row r="33" spans="1:9" ht="38.25" x14ac:dyDescent="0.25">
      <c r="A33" s="59" t="s">
        <v>98</v>
      </c>
      <c r="B33" s="60" t="s">
        <v>80</v>
      </c>
      <c r="C33" s="61"/>
      <c r="D33" s="62" t="s">
        <v>87</v>
      </c>
      <c r="E33" s="65">
        <v>0</v>
      </c>
      <c r="F33" s="65">
        <v>32984687.5</v>
      </c>
      <c r="G33" s="63">
        <v>0</v>
      </c>
      <c r="H33" s="64">
        <v>0</v>
      </c>
      <c r="I33" s="67">
        <f>+F33</f>
        <v>32984687.5</v>
      </c>
    </row>
    <row r="34" spans="1:9" ht="107.25" customHeight="1" x14ac:dyDescent="0.25">
      <c r="A34" s="68" t="s">
        <v>111</v>
      </c>
      <c r="B34" s="69" t="s">
        <v>110</v>
      </c>
      <c r="C34" s="70"/>
      <c r="D34" s="62" t="s">
        <v>87</v>
      </c>
      <c r="E34" s="63"/>
      <c r="F34" s="63">
        <v>46020000</v>
      </c>
      <c r="G34" s="63"/>
      <c r="H34" s="64"/>
      <c r="I34" s="74">
        <f>+F34</f>
        <v>46020000</v>
      </c>
    </row>
    <row r="35" spans="1:9" ht="70.5" customHeight="1" x14ac:dyDescent="0.25">
      <c r="A35" s="59" t="s">
        <v>112</v>
      </c>
      <c r="B35" s="69" t="s">
        <v>113</v>
      </c>
      <c r="C35" s="70"/>
      <c r="D35" s="62" t="s">
        <v>87</v>
      </c>
      <c r="E35" s="63"/>
      <c r="F35" s="63">
        <v>36000000</v>
      </c>
      <c r="G35" s="63"/>
      <c r="H35" s="64"/>
      <c r="I35" s="74">
        <f>+F35</f>
        <v>36000000</v>
      </c>
    </row>
    <row r="36" spans="1:9" ht="38.25" customHeight="1" x14ac:dyDescent="0.25">
      <c r="A36" s="322" t="s">
        <v>114</v>
      </c>
      <c r="B36" s="324" t="s">
        <v>48</v>
      </c>
      <c r="C36" s="322" t="s">
        <v>49</v>
      </c>
      <c r="D36" s="61" t="s">
        <v>59</v>
      </c>
      <c r="E36" s="71">
        <v>500000000</v>
      </c>
      <c r="F36" s="63"/>
      <c r="G36" s="63"/>
      <c r="H36" s="64"/>
      <c r="I36" s="320">
        <f>+E36+F37</f>
        <v>600000000</v>
      </c>
    </row>
    <row r="37" spans="1:9" x14ac:dyDescent="0.25">
      <c r="A37" s="323"/>
      <c r="B37" s="325"/>
      <c r="C37" s="323"/>
      <c r="D37" s="61" t="s">
        <v>58</v>
      </c>
      <c r="E37" s="63"/>
      <c r="F37" s="63">
        <v>100000000</v>
      </c>
      <c r="G37" s="63"/>
      <c r="H37" s="64"/>
      <c r="I37" s="321"/>
    </row>
    <row r="38" spans="1:9" ht="38.25" x14ac:dyDescent="0.25">
      <c r="A38" s="61"/>
      <c r="B38" s="60" t="s">
        <v>60</v>
      </c>
      <c r="C38" s="61" t="s">
        <v>61</v>
      </c>
      <c r="D38" s="61" t="s">
        <v>36</v>
      </c>
      <c r="E38" s="63">
        <v>0</v>
      </c>
      <c r="F38" s="71">
        <f>(737717*8000)*60%</f>
        <v>3541041600</v>
      </c>
      <c r="G38" s="63">
        <v>0</v>
      </c>
      <c r="H38" s="64">
        <v>0</v>
      </c>
      <c r="I38" s="64">
        <f>SUM(E38:H38)</f>
        <v>3541041600</v>
      </c>
    </row>
    <row r="39" spans="1:9" ht="51" x14ac:dyDescent="0.25">
      <c r="A39" s="61"/>
      <c r="B39" s="60" t="s">
        <v>63</v>
      </c>
      <c r="C39" s="61" t="s">
        <v>62</v>
      </c>
      <c r="D39" s="61" t="s">
        <v>36</v>
      </c>
      <c r="E39" s="63">
        <v>0</v>
      </c>
      <c r="F39" s="63">
        <f>(737717*8000)*20%</f>
        <v>1180347200</v>
      </c>
      <c r="G39" s="63">
        <v>0</v>
      </c>
      <c r="H39" s="64">
        <v>0</v>
      </c>
      <c r="I39" s="64">
        <f>SUM(E39:H39)</f>
        <v>1180347200</v>
      </c>
    </row>
    <row r="40" spans="1:9" ht="72.75" customHeight="1" x14ac:dyDescent="0.25">
      <c r="A40" s="322"/>
      <c r="B40" s="324" t="s">
        <v>90</v>
      </c>
      <c r="C40" s="322" t="s">
        <v>96</v>
      </c>
      <c r="D40" s="61" t="s">
        <v>36</v>
      </c>
      <c r="E40" s="62"/>
      <c r="F40" s="63">
        <f>(737717*8000)*20%</f>
        <v>1180347200</v>
      </c>
      <c r="G40" s="62"/>
      <c r="H40" s="61"/>
      <c r="I40" s="320">
        <f>SUM(F40:F42)</f>
        <v>1408754000</v>
      </c>
    </row>
    <row r="41" spans="1:9" ht="38.25" customHeight="1" x14ac:dyDescent="0.25">
      <c r="A41" s="326"/>
      <c r="B41" s="327"/>
      <c r="C41" s="326"/>
      <c r="D41" s="61" t="s">
        <v>58</v>
      </c>
      <c r="E41" s="62"/>
      <c r="F41" s="63">
        <v>200000000</v>
      </c>
      <c r="G41" s="62"/>
      <c r="H41" s="61"/>
      <c r="I41" s="328"/>
    </row>
    <row r="42" spans="1:9" ht="29.25" customHeight="1" x14ac:dyDescent="0.25">
      <c r="A42" s="323"/>
      <c r="B42" s="325"/>
      <c r="C42" s="323"/>
      <c r="D42" s="62" t="s">
        <v>95</v>
      </c>
      <c r="E42" s="62"/>
      <c r="F42" s="63">
        <v>28406800</v>
      </c>
      <c r="G42" s="62"/>
      <c r="H42" s="61"/>
      <c r="I42" s="321"/>
    </row>
    <row r="43" spans="1:9" ht="55.5" customHeight="1" x14ac:dyDescent="0.25">
      <c r="A43" s="59"/>
      <c r="B43" s="69" t="s">
        <v>94</v>
      </c>
      <c r="C43" s="62" t="s">
        <v>76</v>
      </c>
      <c r="D43" s="61" t="s">
        <v>58</v>
      </c>
      <c r="E43" s="63"/>
      <c r="F43" s="63">
        <v>300000000</v>
      </c>
      <c r="G43" s="63"/>
      <c r="H43" s="64"/>
      <c r="I43" s="64">
        <f>F43</f>
        <v>300000000</v>
      </c>
    </row>
    <row r="44" spans="1:9" ht="22.5" customHeight="1" x14ac:dyDescent="0.25">
      <c r="A44" s="322"/>
      <c r="B44" s="324" t="s">
        <v>44</v>
      </c>
      <c r="C44" s="322" t="s">
        <v>97</v>
      </c>
      <c r="D44" s="61" t="s">
        <v>58</v>
      </c>
      <c r="E44" s="63"/>
      <c r="F44" s="63">
        <v>400000000</v>
      </c>
      <c r="G44" s="63"/>
      <c r="H44" s="64"/>
      <c r="I44" s="320">
        <f>+F44+E45</f>
        <v>500000000</v>
      </c>
    </row>
    <row r="45" spans="1:9" ht="21.75" customHeight="1" x14ac:dyDescent="0.25">
      <c r="A45" s="323"/>
      <c r="B45" s="325"/>
      <c r="C45" s="323"/>
      <c r="D45" s="61" t="s">
        <v>59</v>
      </c>
      <c r="E45" s="71">
        <v>100000000</v>
      </c>
      <c r="F45" s="63"/>
      <c r="G45" s="63"/>
      <c r="H45" s="64"/>
      <c r="I45" s="321"/>
    </row>
    <row r="46" spans="1:9" ht="70.5" customHeight="1" x14ac:dyDescent="0.25">
      <c r="A46" s="59"/>
      <c r="B46" s="69" t="s">
        <v>104</v>
      </c>
      <c r="C46" s="70" t="s">
        <v>105</v>
      </c>
      <c r="D46" s="61" t="s">
        <v>58</v>
      </c>
      <c r="E46" s="63"/>
      <c r="F46" s="63">
        <v>300000000</v>
      </c>
      <c r="G46" s="63"/>
      <c r="H46" s="64"/>
      <c r="I46" s="72">
        <f>+F46</f>
        <v>300000000</v>
      </c>
    </row>
    <row r="47" spans="1:9" x14ac:dyDescent="0.25">
      <c r="B47" s="5" t="s">
        <v>115</v>
      </c>
      <c r="G47"/>
      <c r="H47"/>
    </row>
    <row r="48" spans="1:9" x14ac:dyDescent="0.25">
      <c r="D48" s="329" t="s">
        <v>67</v>
      </c>
      <c r="E48" s="330"/>
      <c r="F48" s="331"/>
      <c r="G48"/>
      <c r="H48"/>
    </row>
    <row r="49" spans="3:9" x14ac:dyDescent="0.25">
      <c r="C49" s="306" t="s">
        <v>57</v>
      </c>
      <c r="D49" s="35" t="s">
        <v>66</v>
      </c>
      <c r="E49" s="36" t="s">
        <v>50</v>
      </c>
      <c r="F49" s="35" t="s">
        <v>51</v>
      </c>
      <c r="G49"/>
      <c r="H49"/>
    </row>
    <row r="50" spans="3:9" x14ac:dyDescent="0.25">
      <c r="C50" s="306"/>
      <c r="D50" s="35"/>
      <c r="E50" s="36"/>
      <c r="F50" s="35"/>
      <c r="G50"/>
      <c r="H50"/>
    </row>
    <row r="51" spans="3:9" x14ac:dyDescent="0.25">
      <c r="C51" s="306"/>
      <c r="D51" s="47">
        <v>0</v>
      </c>
      <c r="E51" s="37">
        <f>+E20+E25+E36+E45</f>
        <v>1074328480</v>
      </c>
      <c r="F51" s="38">
        <f>+F23+F32+F41+F37+F43+F44+F46</f>
        <v>2624342151.1618757</v>
      </c>
      <c r="G51"/>
      <c r="H51"/>
    </row>
    <row r="52" spans="3:9" ht="18.75" x14ac:dyDescent="0.25">
      <c r="C52" s="42" t="s">
        <v>70</v>
      </c>
      <c r="D52" s="41">
        <f>+F21+F22+F24+F38+F39+F40</f>
        <v>7004862400</v>
      </c>
      <c r="E52" s="40">
        <v>0</v>
      </c>
      <c r="F52" s="47">
        <v>0</v>
      </c>
      <c r="G52"/>
      <c r="H52"/>
    </row>
    <row r="53" spans="3:9" ht="18.75" x14ac:dyDescent="0.25">
      <c r="C53" s="46" t="s">
        <v>64</v>
      </c>
      <c r="D53" s="47">
        <v>0</v>
      </c>
      <c r="E53" s="26">
        <f>+F26+F27+F28+F29+F30+F31+F33+F42</f>
        <v>890191782.5</v>
      </c>
      <c r="F53" s="47">
        <v>0</v>
      </c>
      <c r="G53"/>
      <c r="H53"/>
    </row>
    <row r="54" spans="3:9" x14ac:dyDescent="0.25">
      <c r="H54" s="6"/>
      <c r="I54" s="5"/>
    </row>
    <row r="55" spans="3:9" ht="15" customHeight="1" x14ac:dyDescent="0.25">
      <c r="C55" s="332" t="s">
        <v>71</v>
      </c>
      <c r="D55" s="332"/>
      <c r="E55" s="332"/>
      <c r="F55" s="332"/>
      <c r="G55"/>
      <c r="H55" s="6"/>
    </row>
    <row r="56" spans="3:9" x14ac:dyDescent="0.25">
      <c r="C56" s="333"/>
      <c r="D56" s="333"/>
      <c r="E56" s="333"/>
      <c r="F56" s="333"/>
    </row>
  </sheetData>
  <mergeCells count="34">
    <mergeCell ref="C49:C51"/>
    <mergeCell ref="D48:F48"/>
    <mergeCell ref="C55:F56"/>
    <mergeCell ref="A44:A45"/>
    <mergeCell ref="B44:B45"/>
    <mergeCell ref="C44:C45"/>
    <mergeCell ref="I44:I45"/>
    <mergeCell ref="A36:A37"/>
    <mergeCell ref="B36:B37"/>
    <mergeCell ref="C36:C37"/>
    <mergeCell ref="I36:I37"/>
    <mergeCell ref="A40:A42"/>
    <mergeCell ref="B40:B42"/>
    <mergeCell ref="C40:C42"/>
    <mergeCell ref="I40:I42"/>
    <mergeCell ref="A23:A24"/>
    <mergeCell ref="B23:B24"/>
    <mergeCell ref="C23:C24"/>
    <mergeCell ref="I23:I24"/>
    <mergeCell ref="A20:A21"/>
    <mergeCell ref="B20:B21"/>
    <mergeCell ref="C20:C21"/>
    <mergeCell ref="I20:I21"/>
    <mergeCell ref="A19:I19"/>
    <mergeCell ref="H3:H4"/>
    <mergeCell ref="I3:I4"/>
    <mergeCell ref="A1:I1"/>
    <mergeCell ref="A2:I2"/>
    <mergeCell ref="C11:D11"/>
    <mergeCell ref="A3:A4"/>
    <mergeCell ref="B3:B4"/>
    <mergeCell ref="C3:C4"/>
    <mergeCell ref="D3:D4"/>
    <mergeCell ref="E3:G3"/>
  </mergeCells>
  <dataValidations count="1">
    <dataValidation type="decimal" allowBlank="1" showInputMessage="1" showErrorMessage="1" errorTitle="Fuentes de Financiación" error="Esta celda solo recibe numeros" promptTitle="Fuentes de Financiación" prompt="Ingresar el valor completo que aportara la fuente de financiación al proyecto en la vigencia 2015." sqref="F7:G10 E8:E10">
      <formula1>0</formula1>
      <formula2>1000000000000</formula2>
    </dataValidation>
  </dataValidations>
  <printOptions horizontalCentered="1" verticalCentered="1"/>
  <pageMargins left="0.70866141732283472" right="0.70866141732283472" top="0.74803149606299213" bottom="0.74803149606299213" header="0.31496062992125984" footer="0.31496062992125984"/>
  <pageSetup scale="50"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9"/>
  <sheetViews>
    <sheetView zoomScale="80" zoomScaleNormal="80" workbookViewId="0">
      <selection activeCell="B31" sqref="B31"/>
    </sheetView>
  </sheetViews>
  <sheetFormatPr baseColWidth="10" defaultRowHeight="15" x14ac:dyDescent="0.25"/>
  <cols>
    <col min="1" max="1" width="12" style="5" customWidth="1"/>
    <col min="2" max="2" width="43" style="5" customWidth="1"/>
    <col min="3" max="3" width="54" style="5" customWidth="1"/>
    <col min="4" max="4" width="19.42578125" style="5" bestFit="1" customWidth="1"/>
    <col min="5" max="5" width="21.7109375" style="6" customWidth="1"/>
    <col min="6" max="6" width="21" style="6" bestFit="1" customWidth="1"/>
    <col min="7" max="7" width="19" style="6" customWidth="1"/>
    <col min="8" max="8" width="22.28515625" style="5" bestFit="1" customWidth="1"/>
    <col min="9" max="9" width="19.42578125" bestFit="1" customWidth="1"/>
    <col min="10" max="10" width="14.85546875" customWidth="1"/>
  </cols>
  <sheetData>
    <row r="1" spans="1:10" ht="28.5" x14ac:dyDescent="0.25">
      <c r="A1" s="292" t="s">
        <v>26</v>
      </c>
      <c r="B1" s="292"/>
      <c r="C1" s="292"/>
      <c r="D1" s="292"/>
      <c r="E1" s="292"/>
      <c r="F1" s="292"/>
      <c r="G1" s="292"/>
      <c r="H1" s="292"/>
      <c r="I1" s="292"/>
    </row>
    <row r="2" spans="1:10" ht="28.5" x14ac:dyDescent="0.25">
      <c r="A2" s="315" t="s">
        <v>99</v>
      </c>
      <c r="B2" s="315"/>
      <c r="C2" s="315"/>
      <c r="D2" s="315"/>
      <c r="E2" s="315"/>
      <c r="F2" s="315"/>
      <c r="G2" s="315"/>
      <c r="H2" s="315"/>
      <c r="I2" s="315"/>
    </row>
    <row r="3" spans="1:10" ht="30" customHeight="1" x14ac:dyDescent="0.25">
      <c r="A3" s="244" t="s">
        <v>28</v>
      </c>
      <c r="B3" s="244" t="s">
        <v>23</v>
      </c>
      <c r="C3" s="244" t="s">
        <v>1</v>
      </c>
      <c r="D3" s="245" t="s">
        <v>27</v>
      </c>
      <c r="E3" s="247" t="s">
        <v>2</v>
      </c>
      <c r="F3" s="248"/>
      <c r="G3" s="249"/>
      <c r="H3" s="244" t="s">
        <v>3</v>
      </c>
      <c r="I3" s="241" t="s">
        <v>37</v>
      </c>
    </row>
    <row r="4" spans="1:10" x14ac:dyDescent="0.25">
      <c r="A4" s="244"/>
      <c r="B4" s="244"/>
      <c r="C4" s="244"/>
      <c r="D4" s="246"/>
      <c r="E4" s="8" t="s">
        <v>34</v>
      </c>
      <c r="F4" s="8" t="s">
        <v>35</v>
      </c>
      <c r="G4" s="8" t="s">
        <v>36</v>
      </c>
      <c r="H4" s="244"/>
      <c r="I4" s="241"/>
    </row>
    <row r="5" spans="1:10" ht="45" x14ac:dyDescent="0.25">
      <c r="A5" s="2" t="s">
        <v>22</v>
      </c>
      <c r="B5" s="45" t="s">
        <v>4</v>
      </c>
      <c r="C5" s="1" t="s">
        <v>14</v>
      </c>
      <c r="D5" s="10" t="s">
        <v>29</v>
      </c>
      <c r="E5" s="7">
        <v>1500000000</v>
      </c>
      <c r="F5" s="7">
        <v>400752369</v>
      </c>
      <c r="G5" s="7"/>
      <c r="H5" s="12" t="s">
        <v>17</v>
      </c>
      <c r="I5" s="33">
        <f t="shared" ref="I5:I10" si="0">E5+F5</f>
        <v>1900752369</v>
      </c>
      <c r="J5" s="34"/>
    </row>
    <row r="6" spans="1:10" ht="398.25" customHeight="1" x14ac:dyDescent="0.25">
      <c r="A6" s="2" t="s">
        <v>106</v>
      </c>
      <c r="B6" s="45" t="s">
        <v>5</v>
      </c>
      <c r="C6" s="4" t="s">
        <v>10</v>
      </c>
      <c r="D6" s="10" t="s">
        <v>29</v>
      </c>
      <c r="E6" s="7">
        <v>0</v>
      </c>
      <c r="F6" s="7">
        <v>1300000000</v>
      </c>
      <c r="G6" s="7"/>
      <c r="H6" s="11" t="s">
        <v>24</v>
      </c>
      <c r="I6" s="18">
        <f t="shared" si="0"/>
        <v>1300000000</v>
      </c>
    </row>
    <row r="7" spans="1:10" ht="90" x14ac:dyDescent="0.25">
      <c r="A7" s="11" t="s">
        <v>21</v>
      </c>
      <c r="B7" s="45" t="s">
        <v>6</v>
      </c>
      <c r="C7" s="4" t="s">
        <v>11</v>
      </c>
      <c r="D7" s="10" t="s">
        <v>29</v>
      </c>
      <c r="E7" s="7">
        <v>0</v>
      </c>
      <c r="F7" s="7">
        <v>1800000000</v>
      </c>
      <c r="G7" s="7"/>
      <c r="H7" s="13" t="s">
        <v>25</v>
      </c>
      <c r="I7" s="18">
        <f t="shared" si="0"/>
        <v>1800000000</v>
      </c>
    </row>
    <row r="8" spans="1:10" ht="51" x14ac:dyDescent="0.25">
      <c r="A8" s="11" t="s">
        <v>20</v>
      </c>
      <c r="B8" s="45" t="s">
        <v>7</v>
      </c>
      <c r="C8" s="1" t="s">
        <v>12</v>
      </c>
      <c r="D8" s="10" t="s">
        <v>29</v>
      </c>
      <c r="E8" s="7">
        <v>150000000</v>
      </c>
      <c r="F8" s="7">
        <v>1200000000</v>
      </c>
      <c r="G8" s="7"/>
      <c r="H8" s="12" t="s">
        <v>17</v>
      </c>
      <c r="I8" s="18">
        <f t="shared" si="0"/>
        <v>1350000000</v>
      </c>
    </row>
    <row r="9" spans="1:10" ht="72" customHeight="1" x14ac:dyDescent="0.25">
      <c r="A9" s="11" t="s">
        <v>19</v>
      </c>
      <c r="B9" s="45" t="s">
        <v>8</v>
      </c>
      <c r="C9" s="3" t="s">
        <v>117</v>
      </c>
      <c r="D9" s="10" t="s">
        <v>29</v>
      </c>
      <c r="E9" s="7">
        <v>250000000</v>
      </c>
      <c r="F9" s="7">
        <v>400000000</v>
      </c>
      <c r="G9" s="7"/>
      <c r="H9" s="12" t="s">
        <v>17</v>
      </c>
      <c r="I9" s="18">
        <f t="shared" si="0"/>
        <v>650000000</v>
      </c>
    </row>
    <row r="10" spans="1:10" ht="120" x14ac:dyDescent="0.25">
      <c r="A10" s="11" t="s">
        <v>18</v>
      </c>
      <c r="B10" s="45" t="s">
        <v>9</v>
      </c>
      <c r="C10" s="4" t="s">
        <v>15</v>
      </c>
      <c r="D10" s="10" t="s">
        <v>29</v>
      </c>
      <c r="E10" s="7">
        <v>33000000</v>
      </c>
      <c r="F10" s="7">
        <v>1000000000</v>
      </c>
      <c r="G10" s="7"/>
      <c r="H10" s="12" t="s">
        <v>17</v>
      </c>
      <c r="I10" s="33">
        <f t="shared" si="0"/>
        <v>1033000000</v>
      </c>
    </row>
    <row r="11" spans="1:10" x14ac:dyDescent="0.25">
      <c r="C11" s="270" t="s">
        <v>52</v>
      </c>
      <c r="D11" s="270"/>
      <c r="E11" s="14">
        <f>SUM(E5:E10)</f>
        <v>1933000000</v>
      </c>
      <c r="F11" s="15">
        <f>SUM(F5:F10)</f>
        <v>6100752369</v>
      </c>
      <c r="G11" s="15"/>
      <c r="H11" s="9">
        <f>SUM(E11+F11)</f>
        <v>8033752369</v>
      </c>
    </row>
    <row r="12" spans="1:10" x14ac:dyDescent="0.25">
      <c r="C12" s="20"/>
      <c r="D12" s="20"/>
      <c r="E12" s="22"/>
      <c r="F12" s="23"/>
      <c r="G12" s="23"/>
      <c r="H12" s="24"/>
    </row>
    <row r="13" spans="1:10" x14ac:dyDescent="0.25">
      <c r="C13" s="20"/>
      <c r="D13" s="20"/>
      <c r="E13" s="22"/>
      <c r="F13" s="23"/>
      <c r="G13" s="23"/>
      <c r="H13" s="24"/>
    </row>
    <row r="14" spans="1:10" x14ac:dyDescent="0.25">
      <c r="C14" s="20"/>
      <c r="D14" s="20"/>
      <c r="E14" s="22"/>
      <c r="F14" s="23"/>
      <c r="G14" s="23"/>
      <c r="H14" s="24"/>
    </row>
    <row r="15" spans="1:10" x14ac:dyDescent="0.25">
      <c r="C15" s="20"/>
      <c r="D15" s="20"/>
      <c r="E15" s="22"/>
      <c r="F15" s="23"/>
      <c r="G15" s="23"/>
      <c r="H15" s="24"/>
    </row>
    <row r="16" spans="1:10" x14ac:dyDescent="0.25">
      <c r="C16" s="20"/>
      <c r="D16" s="20"/>
      <c r="E16" s="22"/>
      <c r="F16" s="23"/>
      <c r="G16" s="23"/>
      <c r="H16" s="24"/>
    </row>
    <row r="17" spans="1:9" x14ac:dyDescent="0.25">
      <c r="C17" s="20"/>
      <c r="D17" s="20"/>
      <c r="E17" s="22"/>
      <c r="F17" s="23"/>
      <c r="G17" s="23"/>
      <c r="H17" s="24"/>
    </row>
    <row r="18" spans="1:9" x14ac:dyDescent="0.25">
      <c r="C18" s="20"/>
      <c r="D18" s="20"/>
      <c r="E18" s="22"/>
      <c r="F18" s="23"/>
      <c r="G18" s="23"/>
      <c r="H18" s="24"/>
    </row>
    <row r="19" spans="1:9" x14ac:dyDescent="0.25">
      <c r="C19" s="20"/>
      <c r="D19" s="20"/>
      <c r="E19" s="22"/>
      <c r="F19" s="23"/>
      <c r="G19" s="23"/>
      <c r="H19" s="24"/>
    </row>
    <row r="20" spans="1:9" x14ac:dyDescent="0.25">
      <c r="C20" s="20"/>
      <c r="D20" s="20"/>
      <c r="E20" s="22"/>
      <c r="F20" s="23"/>
      <c r="G20" s="23"/>
      <c r="H20" s="24"/>
    </row>
    <row r="21" spans="1:9" ht="23.25" x14ac:dyDescent="0.25">
      <c r="A21" s="312" t="s">
        <v>65</v>
      </c>
      <c r="B21" s="313"/>
      <c r="C21" s="313"/>
      <c r="D21" s="313"/>
      <c r="E21" s="313"/>
      <c r="F21" s="313"/>
      <c r="G21" s="313"/>
      <c r="H21" s="313"/>
      <c r="I21" s="314"/>
    </row>
    <row r="22" spans="1:9" ht="19.5" customHeight="1" x14ac:dyDescent="0.25">
      <c r="A22" s="295"/>
      <c r="B22" s="296" t="s">
        <v>30</v>
      </c>
      <c r="C22" s="294" t="s">
        <v>32</v>
      </c>
      <c r="D22" s="12" t="s">
        <v>33</v>
      </c>
      <c r="E22" s="27">
        <v>408000000</v>
      </c>
      <c r="F22" s="16"/>
      <c r="G22" s="16"/>
      <c r="H22" s="17"/>
      <c r="I22" s="297">
        <f>SUM(E22+F23)</f>
        <v>800000000</v>
      </c>
    </row>
    <row r="23" spans="1:9" ht="24.75" customHeight="1" x14ac:dyDescent="0.25">
      <c r="A23" s="295"/>
      <c r="B23" s="296"/>
      <c r="C23" s="294"/>
      <c r="D23" s="12" t="s">
        <v>36</v>
      </c>
      <c r="E23" s="16"/>
      <c r="F23" s="28">
        <v>392000000</v>
      </c>
      <c r="G23" s="28"/>
      <c r="H23" s="17"/>
      <c r="I23" s="297"/>
    </row>
    <row r="24" spans="1:9" ht="63.75" x14ac:dyDescent="0.25">
      <c r="A24" s="21"/>
      <c r="B24" s="43" t="s">
        <v>38</v>
      </c>
      <c r="C24" s="12" t="s">
        <v>89</v>
      </c>
      <c r="D24" s="12" t="s">
        <v>36</v>
      </c>
      <c r="E24" s="16"/>
      <c r="F24" s="28">
        <v>503126400</v>
      </c>
      <c r="G24" s="28"/>
      <c r="H24" s="17"/>
      <c r="I24" s="17">
        <f>F24</f>
        <v>503126400</v>
      </c>
    </row>
    <row r="25" spans="1:9" ht="28.5" customHeight="1" x14ac:dyDescent="0.25">
      <c r="A25" s="316"/>
      <c r="B25" s="317" t="s">
        <v>43</v>
      </c>
      <c r="C25" s="316" t="s">
        <v>42</v>
      </c>
      <c r="D25" s="56" t="s">
        <v>33</v>
      </c>
      <c r="E25" s="57"/>
      <c r="F25" s="28">
        <v>824342151.16187596</v>
      </c>
      <c r="G25" s="28"/>
      <c r="H25" s="27"/>
      <c r="I25" s="318">
        <f>SUM(F25+F26)</f>
        <v>1032342151.161876</v>
      </c>
    </row>
    <row r="26" spans="1:9" ht="24.75" customHeight="1" x14ac:dyDescent="0.25">
      <c r="A26" s="316"/>
      <c r="B26" s="317"/>
      <c r="C26" s="316"/>
      <c r="D26" s="56" t="s">
        <v>36</v>
      </c>
      <c r="E26" s="57"/>
      <c r="F26" s="27">
        <v>208000000</v>
      </c>
      <c r="G26" s="58"/>
      <c r="H26" s="27"/>
      <c r="I26" s="319"/>
    </row>
    <row r="27" spans="1:9" ht="28.5" customHeight="1" x14ac:dyDescent="0.25">
      <c r="A27" s="21"/>
      <c r="B27" s="44" t="s">
        <v>73</v>
      </c>
      <c r="C27" s="12" t="s">
        <v>72</v>
      </c>
      <c r="D27" s="12" t="s">
        <v>74</v>
      </c>
      <c r="E27" s="49">
        <v>66328480</v>
      </c>
      <c r="F27" s="25"/>
      <c r="G27" s="25"/>
      <c r="H27" s="25"/>
      <c r="I27" s="26"/>
    </row>
    <row r="28" spans="1:9" ht="48" customHeight="1" x14ac:dyDescent="0.25">
      <c r="A28" s="21"/>
      <c r="B28" s="44" t="s">
        <v>102</v>
      </c>
      <c r="C28" s="12"/>
      <c r="D28" s="73" t="s">
        <v>87</v>
      </c>
      <c r="E28" s="49"/>
      <c r="F28" s="25">
        <v>61600000</v>
      </c>
      <c r="G28" s="25"/>
      <c r="H28" s="25"/>
      <c r="I28" s="26">
        <f t="shared" ref="I28:I33" si="1">+F28</f>
        <v>61600000</v>
      </c>
    </row>
    <row r="29" spans="1:9" ht="72.75" customHeight="1" x14ac:dyDescent="0.25">
      <c r="A29" s="21"/>
      <c r="B29" s="44" t="s">
        <v>109</v>
      </c>
      <c r="C29" s="12" t="s">
        <v>108</v>
      </c>
      <c r="D29" s="73" t="s">
        <v>87</v>
      </c>
      <c r="E29" s="49"/>
      <c r="F29" s="25">
        <v>65292312</v>
      </c>
      <c r="G29" s="25"/>
      <c r="H29" s="25"/>
      <c r="I29" s="26">
        <f t="shared" si="1"/>
        <v>65292312</v>
      </c>
    </row>
    <row r="30" spans="1:9" ht="80.25" customHeight="1" x14ac:dyDescent="0.25">
      <c r="A30" s="21"/>
      <c r="B30" s="44" t="s">
        <v>103</v>
      </c>
      <c r="C30" s="12"/>
      <c r="D30" s="73" t="s">
        <v>87</v>
      </c>
      <c r="E30" s="49"/>
      <c r="F30" s="25">
        <v>90200000</v>
      </c>
      <c r="G30" s="25"/>
      <c r="H30" s="25"/>
      <c r="I30" s="26">
        <f t="shared" si="1"/>
        <v>90200000</v>
      </c>
    </row>
    <row r="31" spans="1:9" ht="51" x14ac:dyDescent="0.25">
      <c r="A31" s="59"/>
      <c r="B31" s="60" t="s">
        <v>86</v>
      </c>
      <c r="C31" s="61"/>
      <c r="D31" s="62" t="s">
        <v>87</v>
      </c>
      <c r="E31" s="63"/>
      <c r="F31" s="63">
        <v>417017483</v>
      </c>
      <c r="G31" s="63"/>
      <c r="H31" s="64"/>
      <c r="I31" s="64">
        <f t="shared" si="1"/>
        <v>417017483</v>
      </c>
    </row>
    <row r="32" spans="1:9" ht="86.25" customHeight="1" x14ac:dyDescent="0.25">
      <c r="A32" s="59"/>
      <c r="B32" s="60" t="s">
        <v>88</v>
      </c>
      <c r="C32" s="61"/>
      <c r="D32" s="62" t="s">
        <v>87</v>
      </c>
      <c r="E32" s="63"/>
      <c r="F32" s="63">
        <v>70200000</v>
      </c>
      <c r="G32" s="63"/>
      <c r="H32" s="64"/>
      <c r="I32" s="64">
        <f t="shared" si="1"/>
        <v>70200000</v>
      </c>
    </row>
    <row r="33" spans="1:9" ht="51" x14ac:dyDescent="0.25">
      <c r="A33" s="59"/>
      <c r="B33" s="60" t="s">
        <v>82</v>
      </c>
      <c r="C33" s="61"/>
      <c r="D33" s="62" t="s">
        <v>87</v>
      </c>
      <c r="E33" s="65">
        <v>0</v>
      </c>
      <c r="F33" s="66">
        <v>124490500</v>
      </c>
      <c r="G33" s="63">
        <v>0</v>
      </c>
      <c r="H33" s="64">
        <v>0</v>
      </c>
      <c r="I33" s="67">
        <f t="shared" si="1"/>
        <v>124490500</v>
      </c>
    </row>
    <row r="34" spans="1:9" ht="46.5" customHeight="1" x14ac:dyDescent="0.25">
      <c r="A34" s="68"/>
      <c r="B34" s="60" t="s">
        <v>91</v>
      </c>
      <c r="C34" s="61" t="s">
        <v>47</v>
      </c>
      <c r="D34" s="61" t="s">
        <v>58</v>
      </c>
      <c r="E34" s="63"/>
      <c r="F34" s="63">
        <v>500000000</v>
      </c>
      <c r="G34" s="63"/>
      <c r="H34" s="64"/>
      <c r="I34" s="64">
        <f>F34</f>
        <v>500000000</v>
      </c>
    </row>
    <row r="35" spans="1:9" ht="38.25" x14ac:dyDescent="0.25">
      <c r="A35" s="59"/>
      <c r="B35" s="60" t="s">
        <v>80</v>
      </c>
      <c r="C35" s="61"/>
      <c r="D35" s="62" t="s">
        <v>87</v>
      </c>
      <c r="E35" s="65">
        <v>0</v>
      </c>
      <c r="F35" s="65">
        <v>32984687.5</v>
      </c>
      <c r="G35" s="63">
        <v>0</v>
      </c>
      <c r="H35" s="64">
        <v>0</v>
      </c>
      <c r="I35" s="67">
        <f>+F35</f>
        <v>32984687.5</v>
      </c>
    </row>
    <row r="36" spans="1:9" ht="107.25" customHeight="1" x14ac:dyDescent="0.25">
      <c r="A36" s="68"/>
      <c r="B36" s="69" t="s">
        <v>110</v>
      </c>
      <c r="C36" s="70"/>
      <c r="D36" s="62" t="s">
        <v>87</v>
      </c>
      <c r="E36" s="63"/>
      <c r="F36" s="63">
        <v>46020000</v>
      </c>
      <c r="G36" s="63"/>
      <c r="H36" s="64"/>
      <c r="I36" s="74">
        <f>+F36</f>
        <v>46020000</v>
      </c>
    </row>
    <row r="37" spans="1:9" ht="48" customHeight="1" x14ac:dyDescent="0.25">
      <c r="A37" s="59"/>
      <c r="B37" s="69" t="s">
        <v>113</v>
      </c>
      <c r="C37" s="70"/>
      <c r="D37" s="62" t="s">
        <v>87</v>
      </c>
      <c r="E37" s="63"/>
      <c r="F37" s="63">
        <v>36000000</v>
      </c>
      <c r="G37" s="63"/>
      <c r="H37" s="64"/>
      <c r="I37" s="74">
        <f>+F37</f>
        <v>36000000</v>
      </c>
    </row>
    <row r="38" spans="1:9" ht="38.25" customHeight="1" x14ac:dyDescent="0.25">
      <c r="A38" s="322"/>
      <c r="B38" s="324" t="s">
        <v>48</v>
      </c>
      <c r="C38" s="322" t="s">
        <v>49</v>
      </c>
      <c r="D38" s="61" t="s">
        <v>59</v>
      </c>
      <c r="E38" s="71">
        <v>500000000</v>
      </c>
      <c r="F38" s="63"/>
      <c r="G38" s="63"/>
      <c r="H38" s="64"/>
      <c r="I38" s="320">
        <f>+E38+F39</f>
        <v>600000000</v>
      </c>
    </row>
    <row r="39" spans="1:9" x14ac:dyDescent="0.25">
      <c r="A39" s="323"/>
      <c r="B39" s="325"/>
      <c r="C39" s="323"/>
      <c r="D39" s="61" t="s">
        <v>58</v>
      </c>
      <c r="E39" s="63"/>
      <c r="F39" s="63">
        <v>100000000</v>
      </c>
      <c r="G39" s="63"/>
      <c r="H39" s="64"/>
      <c r="I39" s="321"/>
    </row>
    <row r="40" spans="1:9" ht="38.25" x14ac:dyDescent="0.25">
      <c r="A40" s="61"/>
      <c r="B40" s="60" t="s">
        <v>60</v>
      </c>
      <c r="C40" s="61" t="s">
        <v>61</v>
      </c>
      <c r="D40" s="61" t="s">
        <v>36</v>
      </c>
      <c r="E40" s="63">
        <v>0</v>
      </c>
      <c r="F40" s="71">
        <f>(737717*8000)*60%</f>
        <v>3541041600</v>
      </c>
      <c r="G40" s="63">
        <v>0</v>
      </c>
      <c r="H40" s="64">
        <v>0</v>
      </c>
      <c r="I40" s="64">
        <f>SUM(E40:H40)</f>
        <v>3541041600</v>
      </c>
    </row>
    <row r="41" spans="1:9" ht="51" x14ac:dyDescent="0.25">
      <c r="A41" s="61"/>
      <c r="B41" s="60" t="s">
        <v>63</v>
      </c>
      <c r="C41" s="61" t="s">
        <v>62</v>
      </c>
      <c r="D41" s="61" t="s">
        <v>36</v>
      </c>
      <c r="E41" s="63">
        <v>0</v>
      </c>
      <c r="F41" s="63">
        <f>(737717*8000)*20%</f>
        <v>1180347200</v>
      </c>
      <c r="G41" s="63">
        <v>0</v>
      </c>
      <c r="H41" s="64">
        <v>0</v>
      </c>
      <c r="I41" s="64">
        <f>SUM(E41:H41)</f>
        <v>1180347200</v>
      </c>
    </row>
    <row r="42" spans="1:9" ht="28.5" customHeight="1" x14ac:dyDescent="0.25">
      <c r="A42" s="322"/>
      <c r="B42" s="324" t="s">
        <v>90</v>
      </c>
      <c r="C42" s="322" t="s">
        <v>96</v>
      </c>
      <c r="D42" s="61" t="s">
        <v>36</v>
      </c>
      <c r="E42" s="62"/>
      <c r="F42" s="63">
        <f>(737717*8000)*20%</f>
        <v>1180347200</v>
      </c>
      <c r="G42" s="62"/>
      <c r="H42" s="61"/>
      <c r="I42" s="320">
        <f>SUM(F42:F44)</f>
        <v>1408754000</v>
      </c>
    </row>
    <row r="43" spans="1:9" ht="38.25" customHeight="1" x14ac:dyDescent="0.25">
      <c r="A43" s="326"/>
      <c r="B43" s="327"/>
      <c r="C43" s="326"/>
      <c r="D43" s="61" t="s">
        <v>58</v>
      </c>
      <c r="E43" s="62"/>
      <c r="F43" s="63">
        <v>200000000</v>
      </c>
      <c r="G43" s="62"/>
      <c r="H43" s="61"/>
      <c r="I43" s="328"/>
    </row>
    <row r="44" spans="1:9" ht="29.25" customHeight="1" x14ac:dyDescent="0.25">
      <c r="A44" s="323"/>
      <c r="B44" s="325"/>
      <c r="C44" s="323"/>
      <c r="D44" s="62" t="s">
        <v>95</v>
      </c>
      <c r="E44" s="62"/>
      <c r="F44" s="63">
        <v>28406800</v>
      </c>
      <c r="G44" s="62"/>
      <c r="H44" s="61"/>
      <c r="I44" s="321"/>
    </row>
    <row r="45" spans="1:9" ht="34.5" customHeight="1" x14ac:dyDescent="0.25">
      <c r="A45" s="59"/>
      <c r="B45" s="69" t="s">
        <v>94</v>
      </c>
      <c r="C45" s="62" t="s">
        <v>76</v>
      </c>
      <c r="D45" s="61" t="s">
        <v>58</v>
      </c>
      <c r="E45" s="63"/>
      <c r="F45" s="63">
        <v>300000000</v>
      </c>
      <c r="G45" s="63"/>
      <c r="H45" s="64"/>
      <c r="I45" s="64">
        <f>F45</f>
        <v>300000000</v>
      </c>
    </row>
    <row r="46" spans="1:9" ht="22.5" customHeight="1" x14ac:dyDescent="0.25">
      <c r="A46" s="322"/>
      <c r="B46" s="324" t="s">
        <v>44</v>
      </c>
      <c r="C46" s="322" t="s">
        <v>97</v>
      </c>
      <c r="D46" s="61" t="s">
        <v>58</v>
      </c>
      <c r="E46" s="63"/>
      <c r="F46" s="63">
        <v>400000000</v>
      </c>
      <c r="G46" s="63"/>
      <c r="H46" s="64"/>
      <c r="I46" s="320">
        <f>+F46+E47</f>
        <v>500000000</v>
      </c>
    </row>
    <row r="47" spans="1:9" ht="21.75" customHeight="1" x14ac:dyDescent="0.25">
      <c r="A47" s="323"/>
      <c r="B47" s="325"/>
      <c r="C47" s="323"/>
      <c r="D47" s="61" t="s">
        <v>59</v>
      </c>
      <c r="E47" s="71">
        <v>100000000</v>
      </c>
      <c r="F47" s="63"/>
      <c r="G47" s="63"/>
      <c r="H47" s="64"/>
      <c r="I47" s="321"/>
    </row>
    <row r="48" spans="1:9" ht="70.5" customHeight="1" x14ac:dyDescent="0.25">
      <c r="A48" s="59"/>
      <c r="B48" s="69" t="s">
        <v>104</v>
      </c>
      <c r="C48" s="70" t="s">
        <v>105</v>
      </c>
      <c r="D48" s="61" t="s">
        <v>58</v>
      </c>
      <c r="E48" s="63"/>
      <c r="F48" s="63">
        <v>300000000</v>
      </c>
      <c r="G48" s="63"/>
      <c r="H48" s="64"/>
      <c r="I48" s="72">
        <f>+F48</f>
        <v>300000000</v>
      </c>
    </row>
    <row r="49" spans="1:9" ht="63.75" x14ac:dyDescent="0.25">
      <c r="A49" s="61"/>
      <c r="B49" s="69" t="s">
        <v>116</v>
      </c>
      <c r="C49" s="62" t="s">
        <v>118</v>
      </c>
      <c r="D49" s="62" t="s">
        <v>119</v>
      </c>
      <c r="E49" s="62"/>
      <c r="F49" s="75">
        <v>1800000000</v>
      </c>
      <c r="G49" s="76"/>
      <c r="H49" s="76"/>
      <c r="I49" s="76">
        <f>+E49+F49+G49</f>
        <v>1800000000</v>
      </c>
    </row>
    <row r="50" spans="1:9" hidden="1" x14ac:dyDescent="0.25">
      <c r="D50" s="218" t="s">
        <v>67</v>
      </c>
      <c r="E50" s="219"/>
      <c r="F50" s="334"/>
      <c r="G50"/>
      <c r="H50"/>
    </row>
    <row r="51" spans="1:9" hidden="1" x14ac:dyDescent="0.25">
      <c r="C51" s="306" t="s">
        <v>57</v>
      </c>
      <c r="D51" s="35" t="s">
        <v>66</v>
      </c>
      <c r="E51" s="36" t="s">
        <v>50</v>
      </c>
      <c r="F51" s="35" t="s">
        <v>51</v>
      </c>
      <c r="G51"/>
      <c r="H51"/>
    </row>
    <row r="52" spans="1:9" hidden="1" x14ac:dyDescent="0.25">
      <c r="C52" s="306"/>
      <c r="D52" s="35"/>
      <c r="E52" s="36"/>
      <c r="F52" s="35"/>
      <c r="G52"/>
      <c r="H52"/>
    </row>
    <row r="53" spans="1:9" hidden="1" x14ac:dyDescent="0.25">
      <c r="C53" s="306"/>
      <c r="D53" s="47">
        <v>0</v>
      </c>
      <c r="E53" s="37">
        <f>+E22+E27+E38+E47</f>
        <v>1074328480</v>
      </c>
      <c r="F53" s="38">
        <f>+F25+F34+F43+F39+F45+F46+F48</f>
        <v>2624342151.1618757</v>
      </c>
      <c r="G53"/>
      <c r="H53"/>
    </row>
    <row r="54" spans="1:9" ht="18.75" hidden="1" x14ac:dyDescent="0.25">
      <c r="C54" s="42" t="s">
        <v>70</v>
      </c>
      <c r="D54" s="41">
        <f>+F23+F24+F26+F40+F41+F42</f>
        <v>7004862400</v>
      </c>
      <c r="E54" s="40">
        <v>0</v>
      </c>
      <c r="F54" s="47">
        <v>0</v>
      </c>
      <c r="G54"/>
      <c r="H54"/>
    </row>
    <row r="55" spans="1:9" ht="18.75" hidden="1" x14ac:dyDescent="0.25">
      <c r="C55" s="46" t="s">
        <v>64</v>
      </c>
      <c r="D55" s="47">
        <v>0</v>
      </c>
      <c r="E55" s="26">
        <f>+F28+F29+F30+F31+F32+F33+F35+F44</f>
        <v>890191782.5</v>
      </c>
      <c r="F55" s="47">
        <v>0</v>
      </c>
      <c r="G55"/>
      <c r="H55"/>
    </row>
    <row r="56" spans="1:9" hidden="1" x14ac:dyDescent="0.25">
      <c r="H56" s="6"/>
      <c r="I56" s="5"/>
    </row>
    <row r="57" spans="1:9" ht="15" hidden="1" customHeight="1" x14ac:dyDescent="0.25">
      <c r="C57" s="332" t="s">
        <v>71</v>
      </c>
      <c r="D57" s="332"/>
      <c r="E57" s="332"/>
      <c r="F57" s="332"/>
      <c r="G57"/>
      <c r="H57" s="6"/>
    </row>
    <row r="58" spans="1:9" hidden="1" x14ac:dyDescent="0.25">
      <c r="C58" s="333"/>
      <c r="D58" s="333"/>
      <c r="E58" s="333"/>
      <c r="F58" s="333"/>
    </row>
    <row r="59" spans="1:9" hidden="1" x14ac:dyDescent="0.25"/>
  </sheetData>
  <mergeCells count="34">
    <mergeCell ref="D50:F50"/>
    <mergeCell ref="C51:C53"/>
    <mergeCell ref="C57:F58"/>
    <mergeCell ref="A42:A44"/>
    <mergeCell ref="B42:B44"/>
    <mergeCell ref="C42:C44"/>
    <mergeCell ref="I42:I44"/>
    <mergeCell ref="A46:A47"/>
    <mergeCell ref="B46:B47"/>
    <mergeCell ref="C46:C47"/>
    <mergeCell ref="I46:I47"/>
    <mergeCell ref="A25:A26"/>
    <mergeCell ref="B25:B26"/>
    <mergeCell ref="C25:C26"/>
    <mergeCell ref="I25:I26"/>
    <mergeCell ref="A38:A39"/>
    <mergeCell ref="B38:B39"/>
    <mergeCell ref="C38:C39"/>
    <mergeCell ref="I38:I39"/>
    <mergeCell ref="C11:D11"/>
    <mergeCell ref="A21:I21"/>
    <mergeCell ref="A22:A23"/>
    <mergeCell ref="B22:B23"/>
    <mergeCell ref="C22:C23"/>
    <mergeCell ref="I22:I23"/>
    <mergeCell ref="A1:I1"/>
    <mergeCell ref="A2:I2"/>
    <mergeCell ref="A3:A4"/>
    <mergeCell ref="B3:B4"/>
    <mergeCell ref="C3:C4"/>
    <mergeCell ref="D3:D4"/>
    <mergeCell ref="E3:G3"/>
    <mergeCell ref="H3:H4"/>
    <mergeCell ref="I3:I4"/>
  </mergeCells>
  <dataValidations count="1">
    <dataValidation type="decimal" allowBlank="1" showInputMessage="1" showErrorMessage="1" errorTitle="Fuentes de Financiación" error="Esta celda solo recibe numeros" promptTitle="Fuentes de Financiación" prompt="Ingresar el valor completo que aportara la fuente de financiación al proyecto en la vigencia 2015." sqref="F7:G10 E8:E10">
      <formula1>0</formula1>
      <formula2>1000000000000</formula2>
    </dataValidation>
  </dataValidations>
  <printOptions horizontalCentered="1" verticalCentered="1"/>
  <pageMargins left="0.70866141732283472" right="0.70866141732283472" top="0.74803149606299213" bottom="0.74803149606299213" header="0.31496062992125984" footer="0.31496062992125984"/>
  <pageSetup scale="5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16</vt:i4>
      </vt:variant>
    </vt:vector>
  </HeadingPairs>
  <TitlesOfParts>
    <vt:vector size="25" baseType="lpstr">
      <vt:lpstr>INVERSION 2018_1</vt:lpstr>
      <vt:lpstr>PLANIFICACION DEFINITIVA</vt:lpstr>
      <vt:lpstr>PLANIFICACION ACTUALIZAD</vt:lpstr>
      <vt:lpstr>Hoja2</vt:lpstr>
      <vt:lpstr>NUEVOS PRODUCTOS PARA APROBACIO</vt:lpstr>
      <vt:lpstr>Hoja1 (2)</vt:lpstr>
      <vt:lpstr>Hoja1</vt:lpstr>
      <vt:lpstr>comite_05_2017</vt:lpstr>
      <vt:lpstr>publicacion </vt:lpstr>
      <vt:lpstr>comite_05_2017!Área_de_impresión</vt:lpstr>
      <vt:lpstr>Hoja1!Área_de_impresión</vt:lpstr>
      <vt:lpstr>'Hoja1 (2)'!Área_de_impresión</vt:lpstr>
      <vt:lpstr>'INVERSION 2018_1'!Área_de_impresión</vt:lpstr>
      <vt:lpstr>'NUEVOS PRODUCTOS PARA APROBACIO'!Área_de_impresión</vt:lpstr>
      <vt:lpstr>'PLANIFICACION ACTUALIZAD'!Área_de_impresión</vt:lpstr>
      <vt:lpstr>'PLANIFICACION DEFINITIVA'!Área_de_impresión</vt:lpstr>
      <vt:lpstr>'publicacion '!Área_de_impresión</vt:lpstr>
      <vt:lpstr>comite_05_2017!Títulos_a_imprimir</vt:lpstr>
      <vt:lpstr>Hoja1!Títulos_a_imprimir</vt:lpstr>
      <vt:lpstr>'Hoja1 (2)'!Títulos_a_imprimir</vt:lpstr>
      <vt:lpstr>'INVERSION 2018_1'!Títulos_a_imprimir</vt:lpstr>
      <vt:lpstr>'NUEVOS PRODUCTOS PARA APROBACIO'!Títulos_a_imprimir</vt:lpstr>
      <vt:lpstr>'PLANIFICACION ACTUALIZAD'!Títulos_a_imprimir</vt:lpstr>
      <vt:lpstr>'PLANIFICACION DEFINITIVA'!Títulos_a_imprimir</vt:lpstr>
      <vt:lpstr>'publicacion '!Títulos_a_imprimir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uts</dc:creator>
  <cp:lastModifiedBy>UTS</cp:lastModifiedBy>
  <cp:lastPrinted>2018-10-12T19:42:32Z</cp:lastPrinted>
  <dcterms:created xsi:type="dcterms:W3CDTF">2017-02-08T14:56:27Z</dcterms:created>
  <dcterms:modified xsi:type="dcterms:W3CDTF">2020-02-20T14:53:39Z</dcterms:modified>
</cp:coreProperties>
</file>